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5" yWindow="-270" windowWidth="19440" windowHeight="10860"/>
  </bookViews>
  <sheets>
    <sheet name="цены на подушки" sheetId="4" r:id="rId1"/>
  </sheets>
  <calcPr calcId="145621"/>
</workbook>
</file>

<file path=xl/calcChain.xml><?xml version="1.0" encoding="utf-8"?>
<calcChain xmlns="http://schemas.openxmlformats.org/spreadsheetml/2006/main">
  <c r="E70" i="4" l="1"/>
  <c r="F70" i="4"/>
  <c r="G70" i="4"/>
  <c r="H70" i="4"/>
  <c r="I70" i="4"/>
  <c r="J70" i="4"/>
  <c r="K70" i="4"/>
  <c r="L70" i="4"/>
  <c r="E71" i="4"/>
  <c r="F71" i="4"/>
  <c r="G71" i="4"/>
  <c r="H71" i="4"/>
  <c r="I71" i="4"/>
  <c r="J71" i="4"/>
  <c r="K71" i="4"/>
  <c r="L71" i="4"/>
  <c r="E72" i="4"/>
  <c r="F72" i="4"/>
  <c r="G72" i="4"/>
  <c r="H72" i="4"/>
  <c r="I72" i="4"/>
  <c r="J72" i="4"/>
  <c r="K72" i="4"/>
  <c r="L72" i="4"/>
  <c r="E73" i="4"/>
  <c r="F73" i="4"/>
  <c r="G73" i="4"/>
  <c r="H73" i="4"/>
  <c r="I73" i="4"/>
  <c r="J73" i="4"/>
  <c r="K73" i="4"/>
  <c r="L73" i="4"/>
  <c r="E74" i="4"/>
  <c r="F74" i="4"/>
  <c r="G74" i="4"/>
  <c r="H74" i="4"/>
  <c r="I74" i="4"/>
  <c r="J74" i="4"/>
  <c r="K74" i="4"/>
  <c r="L74" i="4"/>
  <c r="E75" i="4"/>
  <c r="F75" i="4"/>
  <c r="G75" i="4"/>
  <c r="H75" i="4"/>
  <c r="I75" i="4"/>
  <c r="J75" i="4"/>
  <c r="K75" i="4"/>
  <c r="L75" i="4"/>
  <c r="E76" i="4"/>
  <c r="F76" i="4"/>
  <c r="G76" i="4"/>
  <c r="H76" i="4"/>
  <c r="I76" i="4"/>
  <c r="J76" i="4"/>
  <c r="K76" i="4"/>
  <c r="L76" i="4"/>
  <c r="E77" i="4"/>
  <c r="F77" i="4"/>
  <c r="G77" i="4"/>
  <c r="H77" i="4"/>
  <c r="I77" i="4"/>
  <c r="J77" i="4"/>
  <c r="K77" i="4"/>
  <c r="L77" i="4"/>
  <c r="E78" i="4"/>
  <c r="F78" i="4"/>
  <c r="G78" i="4"/>
  <c r="H78" i="4"/>
  <c r="I78" i="4"/>
  <c r="J78" i="4"/>
  <c r="K78" i="4"/>
  <c r="L78" i="4"/>
  <c r="E80" i="4"/>
  <c r="F80" i="4"/>
  <c r="G80" i="4"/>
  <c r="H80" i="4"/>
  <c r="I80" i="4"/>
  <c r="J80" i="4"/>
  <c r="K80" i="4"/>
  <c r="L80" i="4"/>
  <c r="E81" i="4"/>
  <c r="F81" i="4"/>
  <c r="G81" i="4"/>
  <c r="H81" i="4"/>
  <c r="I81" i="4"/>
  <c r="J81" i="4"/>
  <c r="K81" i="4"/>
  <c r="L81" i="4"/>
  <c r="E82" i="4"/>
  <c r="F82" i="4"/>
  <c r="G82" i="4"/>
  <c r="H82" i="4"/>
  <c r="I82" i="4"/>
  <c r="J82" i="4"/>
  <c r="K82" i="4"/>
  <c r="L82" i="4"/>
  <c r="E83" i="4"/>
  <c r="F83" i="4"/>
  <c r="G83" i="4"/>
  <c r="H83" i="4"/>
  <c r="I83" i="4"/>
  <c r="J83" i="4"/>
  <c r="K83" i="4"/>
  <c r="L83" i="4"/>
  <c r="E84" i="4"/>
  <c r="F84" i="4"/>
  <c r="G84" i="4"/>
  <c r="H84" i="4"/>
  <c r="I84" i="4"/>
  <c r="J84" i="4"/>
  <c r="K84" i="4"/>
  <c r="L84" i="4"/>
  <c r="E85" i="4"/>
  <c r="F85" i="4"/>
  <c r="G85" i="4"/>
  <c r="H85" i="4"/>
  <c r="I85" i="4"/>
  <c r="J85" i="4"/>
  <c r="K85" i="4"/>
  <c r="L85" i="4"/>
  <c r="E86" i="4"/>
  <c r="F86" i="4"/>
  <c r="G86" i="4"/>
  <c r="H86" i="4"/>
  <c r="I86" i="4"/>
  <c r="J86" i="4"/>
  <c r="K86" i="4"/>
  <c r="L86" i="4"/>
  <c r="E87" i="4"/>
  <c r="F87" i="4"/>
  <c r="G87" i="4"/>
  <c r="H87" i="4"/>
  <c r="I87" i="4"/>
  <c r="J87" i="4"/>
  <c r="K87" i="4"/>
  <c r="L87" i="4"/>
  <c r="E88" i="4"/>
  <c r="F88" i="4"/>
  <c r="G88" i="4"/>
  <c r="H88" i="4"/>
  <c r="I88" i="4"/>
  <c r="J88" i="4"/>
  <c r="K88" i="4"/>
  <c r="L88" i="4"/>
  <c r="E90" i="4"/>
  <c r="F90" i="4"/>
  <c r="G90" i="4"/>
  <c r="H90" i="4"/>
  <c r="I90" i="4"/>
  <c r="J90" i="4"/>
  <c r="K90" i="4"/>
  <c r="L90" i="4"/>
  <c r="E91" i="4"/>
  <c r="F91" i="4"/>
  <c r="G91" i="4"/>
  <c r="H91" i="4"/>
  <c r="I91" i="4"/>
  <c r="J91" i="4"/>
  <c r="K91" i="4"/>
  <c r="L91" i="4"/>
  <c r="E92" i="4"/>
  <c r="F92" i="4"/>
  <c r="G92" i="4"/>
  <c r="H92" i="4"/>
  <c r="I92" i="4"/>
  <c r="J92" i="4"/>
  <c r="K92" i="4"/>
  <c r="L92" i="4"/>
  <c r="E93" i="4"/>
  <c r="F93" i="4"/>
  <c r="G93" i="4"/>
  <c r="H93" i="4"/>
  <c r="I93" i="4"/>
  <c r="J93" i="4"/>
  <c r="K93" i="4"/>
  <c r="L93" i="4"/>
  <c r="E94" i="4"/>
  <c r="F94" i="4"/>
  <c r="G94" i="4"/>
  <c r="H94" i="4"/>
  <c r="I94" i="4"/>
  <c r="J94" i="4"/>
  <c r="K94" i="4"/>
  <c r="L94" i="4"/>
  <c r="E95" i="4"/>
  <c r="F95" i="4"/>
  <c r="G95" i="4"/>
  <c r="H95" i="4"/>
  <c r="I95" i="4"/>
  <c r="J95" i="4"/>
  <c r="K95" i="4"/>
  <c r="L95" i="4"/>
  <c r="E96" i="4"/>
  <c r="F96" i="4"/>
  <c r="G96" i="4"/>
  <c r="H96" i="4"/>
  <c r="I96" i="4"/>
  <c r="J96" i="4"/>
  <c r="K96" i="4"/>
  <c r="L96" i="4"/>
  <c r="E97" i="4"/>
  <c r="F97" i="4"/>
  <c r="G97" i="4"/>
  <c r="H97" i="4"/>
  <c r="I97" i="4"/>
  <c r="J97" i="4"/>
  <c r="K97" i="4"/>
  <c r="L97" i="4"/>
  <c r="E98" i="4"/>
  <c r="F98" i="4"/>
  <c r="G98" i="4"/>
  <c r="H98" i="4"/>
  <c r="I98" i="4"/>
  <c r="J98" i="4"/>
  <c r="K98" i="4"/>
  <c r="L98" i="4"/>
  <c r="E37" i="4"/>
  <c r="F37" i="4"/>
  <c r="G37" i="4"/>
  <c r="H37" i="4"/>
  <c r="I37" i="4"/>
  <c r="J37" i="4"/>
  <c r="K37" i="4"/>
  <c r="L37" i="4"/>
  <c r="E38" i="4"/>
  <c r="F38" i="4"/>
  <c r="G38" i="4"/>
  <c r="H38" i="4"/>
  <c r="I38" i="4"/>
  <c r="J38" i="4"/>
  <c r="K38" i="4"/>
  <c r="L38" i="4"/>
  <c r="E39" i="4"/>
  <c r="F39" i="4"/>
  <c r="G39" i="4"/>
  <c r="H39" i="4"/>
  <c r="I39" i="4"/>
  <c r="J39" i="4"/>
  <c r="K39" i="4"/>
  <c r="L39" i="4"/>
  <c r="E40" i="4"/>
  <c r="F40" i="4"/>
  <c r="G40" i="4"/>
  <c r="H40" i="4"/>
  <c r="I40" i="4"/>
  <c r="J40" i="4"/>
  <c r="K40" i="4"/>
  <c r="L40" i="4"/>
  <c r="E41" i="4"/>
  <c r="F41" i="4"/>
  <c r="G41" i="4"/>
  <c r="H41" i="4"/>
  <c r="I41" i="4"/>
  <c r="J41" i="4"/>
  <c r="K41" i="4"/>
  <c r="L41" i="4"/>
  <c r="E42" i="4"/>
  <c r="F42" i="4"/>
  <c r="G42" i="4"/>
  <c r="H42" i="4"/>
  <c r="I42" i="4"/>
  <c r="J42" i="4"/>
  <c r="K42" i="4"/>
  <c r="L42" i="4"/>
  <c r="E43" i="4"/>
  <c r="F43" i="4"/>
  <c r="G43" i="4"/>
  <c r="H43" i="4"/>
  <c r="I43" i="4"/>
  <c r="J43" i="4"/>
  <c r="K43" i="4"/>
  <c r="L43" i="4"/>
  <c r="E44" i="4"/>
  <c r="F44" i="4"/>
  <c r="G44" i="4"/>
  <c r="H44" i="4"/>
  <c r="I44" i="4"/>
  <c r="J44" i="4"/>
  <c r="K44" i="4"/>
  <c r="L44" i="4"/>
  <c r="E45" i="4"/>
  <c r="F45" i="4"/>
  <c r="G45" i="4"/>
  <c r="H45" i="4"/>
  <c r="I45" i="4"/>
  <c r="J45" i="4"/>
  <c r="K45" i="4"/>
  <c r="L45" i="4"/>
  <c r="E47" i="4"/>
  <c r="F47" i="4"/>
  <c r="G47" i="4"/>
  <c r="H47" i="4"/>
  <c r="I47" i="4"/>
  <c r="J47" i="4"/>
  <c r="K47" i="4"/>
  <c r="L47" i="4"/>
  <c r="E48" i="4"/>
  <c r="F48" i="4"/>
  <c r="G48" i="4"/>
  <c r="H48" i="4"/>
  <c r="I48" i="4"/>
  <c r="J48" i="4"/>
  <c r="K48" i="4"/>
  <c r="L48" i="4"/>
  <c r="E49" i="4"/>
  <c r="F49" i="4"/>
  <c r="G49" i="4"/>
  <c r="H49" i="4"/>
  <c r="I49" i="4"/>
  <c r="J49" i="4"/>
  <c r="K49" i="4"/>
  <c r="L49" i="4"/>
  <c r="E50" i="4"/>
  <c r="F50" i="4"/>
  <c r="G50" i="4"/>
  <c r="H50" i="4"/>
  <c r="I50" i="4"/>
  <c r="J50" i="4"/>
  <c r="K50" i="4"/>
  <c r="L50" i="4"/>
  <c r="E51" i="4"/>
  <c r="F51" i="4"/>
  <c r="G51" i="4"/>
  <c r="H51" i="4"/>
  <c r="I51" i="4"/>
  <c r="J51" i="4"/>
  <c r="K51" i="4"/>
  <c r="L51" i="4"/>
  <c r="E52" i="4"/>
  <c r="F52" i="4"/>
  <c r="G52" i="4"/>
  <c r="H52" i="4"/>
  <c r="I52" i="4"/>
  <c r="J52" i="4"/>
  <c r="K52" i="4"/>
  <c r="L52" i="4"/>
  <c r="E53" i="4"/>
  <c r="F53" i="4"/>
  <c r="G53" i="4"/>
  <c r="H53" i="4"/>
  <c r="I53" i="4"/>
  <c r="J53" i="4"/>
  <c r="K53" i="4"/>
  <c r="L53" i="4"/>
  <c r="E54" i="4"/>
  <c r="F54" i="4"/>
  <c r="G54" i="4"/>
  <c r="H54" i="4"/>
  <c r="I54" i="4"/>
  <c r="J54" i="4"/>
  <c r="K54" i="4"/>
  <c r="L54" i="4"/>
  <c r="E55" i="4"/>
  <c r="F55" i="4"/>
  <c r="G55" i="4"/>
  <c r="H55" i="4"/>
  <c r="I55" i="4"/>
  <c r="J55" i="4"/>
  <c r="K55" i="4"/>
  <c r="L55" i="4"/>
  <c r="E57" i="4"/>
  <c r="F57" i="4"/>
  <c r="G57" i="4"/>
  <c r="H57" i="4"/>
  <c r="I57" i="4"/>
  <c r="J57" i="4"/>
  <c r="K57" i="4"/>
  <c r="L57" i="4"/>
  <c r="E58" i="4"/>
  <c r="F58" i="4"/>
  <c r="G58" i="4"/>
  <c r="H58" i="4"/>
  <c r="I58" i="4"/>
  <c r="J58" i="4"/>
  <c r="K58" i="4"/>
  <c r="L58" i="4"/>
  <c r="E59" i="4"/>
  <c r="F59" i="4"/>
  <c r="G59" i="4"/>
  <c r="H59" i="4"/>
  <c r="I59" i="4"/>
  <c r="J59" i="4"/>
  <c r="K59" i="4"/>
  <c r="L59" i="4"/>
  <c r="E60" i="4"/>
  <c r="F60" i="4"/>
  <c r="G60" i="4"/>
  <c r="H60" i="4"/>
  <c r="I60" i="4"/>
  <c r="J60" i="4"/>
  <c r="K60" i="4"/>
  <c r="L60" i="4"/>
  <c r="E61" i="4"/>
  <c r="F61" i="4"/>
  <c r="G61" i="4"/>
  <c r="H61" i="4"/>
  <c r="I61" i="4"/>
  <c r="J61" i="4"/>
  <c r="K61" i="4"/>
  <c r="L61" i="4"/>
  <c r="E62" i="4"/>
  <c r="F62" i="4"/>
  <c r="G62" i="4"/>
  <c r="H62" i="4"/>
  <c r="I62" i="4"/>
  <c r="J62" i="4"/>
  <c r="K62" i="4"/>
  <c r="L62" i="4"/>
  <c r="E63" i="4"/>
  <c r="F63" i="4"/>
  <c r="G63" i="4"/>
  <c r="H63" i="4"/>
  <c r="I63" i="4"/>
  <c r="J63" i="4"/>
  <c r="K63" i="4"/>
  <c r="L63" i="4"/>
  <c r="E64" i="4"/>
  <c r="F64" i="4"/>
  <c r="G64" i="4"/>
  <c r="H64" i="4"/>
  <c r="I64" i="4"/>
  <c r="J64" i="4"/>
  <c r="K64" i="4"/>
  <c r="L64" i="4"/>
  <c r="E65" i="4"/>
  <c r="F65" i="4"/>
  <c r="H65" i="4" s="1"/>
  <c r="G65" i="4"/>
  <c r="I65" i="4"/>
  <c r="K65" i="4"/>
  <c r="L65" i="4" l="1"/>
  <c r="J65" i="4"/>
  <c r="F33" i="4"/>
  <c r="L33" i="4" s="1"/>
  <c r="F32" i="4"/>
  <c r="L32" i="4" s="1"/>
  <c r="F31" i="4"/>
  <c r="L31" i="4" s="1"/>
  <c r="F30" i="4"/>
  <c r="L30" i="4" s="1"/>
  <c r="F29" i="4"/>
  <c r="L29" i="4" s="1"/>
  <c r="F28" i="4"/>
  <c r="L28" i="4" s="1"/>
  <c r="E33" i="4"/>
  <c r="K33" i="4" s="1"/>
  <c r="E32" i="4"/>
  <c r="K32" i="4" s="1"/>
  <c r="E31" i="4"/>
  <c r="K31" i="4" s="1"/>
  <c r="E30" i="4"/>
  <c r="K30" i="4" s="1"/>
  <c r="E29" i="4"/>
  <c r="K29" i="4" s="1"/>
  <c r="E28" i="4"/>
  <c r="K28" i="4" s="1"/>
  <c r="F27" i="4"/>
  <c r="L27" i="4" s="1"/>
  <c r="F26" i="4"/>
  <c r="L26" i="4" s="1"/>
  <c r="F25" i="4"/>
  <c r="L25" i="4" s="1"/>
  <c r="E27" i="4"/>
  <c r="K27" i="4" s="1"/>
  <c r="E26" i="4"/>
  <c r="K26" i="4" s="1"/>
  <c r="E25" i="4"/>
  <c r="K25" i="4" s="1"/>
  <c r="F23" i="4"/>
  <c r="L23" i="4" s="1"/>
  <c r="F22" i="4"/>
  <c r="L22" i="4" s="1"/>
  <c r="F21" i="4"/>
  <c r="L21" i="4" s="1"/>
  <c r="E23" i="4"/>
  <c r="K23" i="4" s="1"/>
  <c r="E22" i="4"/>
  <c r="K22" i="4" s="1"/>
  <c r="E21" i="4"/>
  <c r="K21" i="4" s="1"/>
  <c r="F20" i="4"/>
  <c r="L20" i="4" s="1"/>
  <c r="F19" i="4"/>
  <c r="L19" i="4" s="1"/>
  <c r="F18" i="4"/>
  <c r="L18" i="4" s="1"/>
  <c r="E20" i="4"/>
  <c r="K20" i="4" s="1"/>
  <c r="E19" i="4"/>
  <c r="K19" i="4" s="1"/>
  <c r="E18" i="4"/>
  <c r="K18" i="4" s="1"/>
  <c r="F17" i="4"/>
  <c r="L17" i="4" s="1"/>
  <c r="F16" i="4"/>
  <c r="L16" i="4" s="1"/>
  <c r="F15" i="4"/>
  <c r="L15" i="4" s="1"/>
  <c r="E17" i="4"/>
  <c r="K17" i="4" s="1"/>
  <c r="E16" i="4"/>
  <c r="K16" i="4" s="1"/>
  <c r="E15" i="4"/>
  <c r="K15" i="4" s="1"/>
  <c r="F13" i="4"/>
  <c r="L13" i="4" s="1"/>
  <c r="F12" i="4"/>
  <c r="L12" i="4" s="1"/>
  <c r="F11" i="4"/>
  <c r="L11" i="4" s="1"/>
  <c r="E13" i="4"/>
  <c r="K13" i="4" s="1"/>
  <c r="E12" i="4"/>
  <c r="K12" i="4" s="1"/>
  <c r="E11" i="4"/>
  <c r="K11" i="4" s="1"/>
  <c r="F10" i="4"/>
  <c r="L10" i="4" s="1"/>
  <c r="F9" i="4"/>
  <c r="L9" i="4" s="1"/>
  <c r="F8" i="4"/>
  <c r="L8" i="4" s="1"/>
  <c r="E10" i="4"/>
  <c r="K10" i="4" s="1"/>
  <c r="E9" i="4"/>
  <c r="K9" i="4" s="1"/>
  <c r="E8" i="4"/>
  <c r="K8" i="4" s="1"/>
  <c r="F7" i="4"/>
  <c r="L7" i="4" s="1"/>
  <c r="F6" i="4"/>
  <c r="L6" i="4" s="1"/>
  <c r="F5" i="4"/>
  <c r="L5" i="4" s="1"/>
  <c r="E7" i="4"/>
  <c r="K7" i="4" s="1"/>
  <c r="E6" i="4"/>
  <c r="K6" i="4" s="1"/>
  <c r="E5" i="4"/>
  <c r="K5" i="4" s="1"/>
  <c r="I31" i="4" l="1"/>
  <c r="I30" i="4"/>
  <c r="I29" i="4"/>
  <c r="I28" i="4"/>
  <c r="I27" i="4"/>
  <c r="I26" i="4"/>
  <c r="I25" i="4"/>
  <c r="I23" i="4"/>
  <c r="I22" i="4"/>
  <c r="I21" i="4"/>
  <c r="I20" i="4"/>
  <c r="I19" i="4"/>
  <c r="I18" i="4"/>
  <c r="I17" i="4"/>
  <c r="I16" i="4"/>
  <c r="I15" i="4"/>
  <c r="I13" i="4"/>
  <c r="I12" i="4"/>
  <c r="I11" i="4"/>
  <c r="I10" i="4"/>
  <c r="I9" i="4"/>
  <c r="I8" i="4"/>
  <c r="I7" i="4"/>
  <c r="I6" i="4"/>
  <c r="I5" i="4"/>
  <c r="G6" i="4" l="1"/>
  <c r="G8" i="4"/>
  <c r="G10" i="4"/>
  <c r="G12" i="4"/>
  <c r="G17" i="4"/>
  <c r="G19" i="4"/>
  <c r="G21" i="4"/>
  <c r="G28" i="4"/>
  <c r="G30" i="4"/>
  <c r="G32" i="4"/>
  <c r="G15" i="4"/>
  <c r="G23" i="4"/>
  <c r="G26" i="4"/>
  <c r="G5" i="4"/>
  <c r="G7" i="4"/>
  <c r="G9" i="4"/>
  <c r="G11" i="4"/>
  <c r="G13" i="4"/>
  <c r="G16" i="4"/>
  <c r="G18" i="4"/>
  <c r="G20" i="4"/>
  <c r="G22" i="4"/>
  <c r="G25" i="4"/>
  <c r="G27" i="4"/>
  <c r="G29" i="4"/>
  <c r="G31" i="4"/>
  <c r="I32" i="4"/>
  <c r="G33" i="4"/>
  <c r="I33" i="4"/>
  <c r="H5" i="4"/>
  <c r="J5" i="4"/>
  <c r="H6" i="4"/>
  <c r="J6" i="4"/>
  <c r="H7" i="4"/>
  <c r="J7" i="4"/>
  <c r="H8" i="4"/>
  <c r="J8" i="4"/>
  <c r="H9" i="4"/>
  <c r="J9" i="4"/>
  <c r="H10" i="4"/>
  <c r="J10" i="4"/>
  <c r="H11" i="4"/>
  <c r="J11" i="4"/>
  <c r="H12" i="4"/>
  <c r="J12" i="4"/>
  <c r="H13" i="4"/>
  <c r="J13" i="4"/>
  <c r="H15" i="4"/>
  <c r="J15" i="4"/>
  <c r="H16" i="4"/>
  <c r="J16" i="4"/>
  <c r="H17" i="4"/>
  <c r="J17" i="4"/>
  <c r="H18" i="4"/>
  <c r="J18" i="4"/>
  <c r="H19" i="4"/>
  <c r="J19" i="4"/>
  <c r="H20" i="4"/>
  <c r="J20" i="4"/>
  <c r="H21" i="4"/>
  <c r="J21" i="4"/>
  <c r="H22" i="4"/>
  <c r="J22" i="4"/>
  <c r="H23" i="4"/>
  <c r="J23" i="4"/>
  <c r="H25" i="4"/>
  <c r="J25" i="4"/>
  <c r="H26" i="4"/>
  <c r="J26" i="4"/>
  <c r="H27" i="4"/>
  <c r="J27" i="4"/>
  <c r="H28" i="4"/>
  <c r="J28" i="4"/>
  <c r="H29" i="4"/>
  <c r="J29" i="4"/>
  <c r="H30" i="4"/>
  <c r="J30" i="4"/>
  <c r="H31" i="4"/>
  <c r="J31" i="4"/>
  <c r="H32" i="4"/>
  <c r="J32" i="4"/>
  <c r="H33" i="4"/>
  <c r="J33" i="4"/>
</calcChain>
</file>

<file path=xl/sharedStrings.xml><?xml version="1.0" encoding="utf-8"?>
<sst xmlns="http://schemas.openxmlformats.org/spreadsheetml/2006/main" count="195" uniqueCount="32">
  <si>
    <t>60*60 (50*70)</t>
  </si>
  <si>
    <t>60*40</t>
  </si>
  <si>
    <t>70*70</t>
  </si>
  <si>
    <t>размеры (см)</t>
  </si>
  <si>
    <t>Наполнитель</t>
  </si>
  <si>
    <t>Файбер</t>
  </si>
  <si>
    <t>Камфорель</t>
  </si>
  <si>
    <t>Лебяжий пух</t>
  </si>
  <si>
    <t>Себестоимость</t>
  </si>
  <si>
    <t>Базовые цены</t>
  </si>
  <si>
    <t>Подушка без канта (вторая цена с кантом), чехол полисатин (микрофибра)</t>
  </si>
  <si>
    <t>С кантом</t>
  </si>
  <si>
    <t>Без канта</t>
  </si>
  <si>
    <t>Подушка без канта (вторая цена с кантом), чехол поликоттон (бязь, тик п/э)</t>
  </si>
  <si>
    <t>Подушка без канта (вторая цена с кантом), чехол  тик 100% х/б</t>
  </si>
  <si>
    <t>Артикул</t>
  </si>
  <si>
    <t>Тип подушки (чехла)</t>
  </si>
  <si>
    <t>От 10 тыс.</t>
  </si>
  <si>
    <t>От 50 тыс.</t>
  </si>
  <si>
    <t>1215 / 1215к</t>
  </si>
  <si>
    <t>1215/ 1215к</t>
  </si>
  <si>
    <t>1212-1/ 1212-1к</t>
  </si>
  <si>
    <t>1212/ 1212к</t>
  </si>
  <si>
    <t>Подушка стеганная со съемным чехлом без канта (вторая цена с кантом), чехол полисатин (микрофибра)</t>
  </si>
  <si>
    <t>Подушка стеганная со съемным чехлом без канта (вторая цена с кантом), чехол поликоттон (бязь, тик п/э)</t>
  </si>
  <si>
    <t>Подушка стеганная со съемным чехлом без канта (вторая цена с кантом), чехол  тик 100% х/б</t>
  </si>
  <si>
    <t>Подушка стеганная в один чехол без канта (вторая цена с кантом), чехол полисатин (микрофибра)</t>
  </si>
  <si>
    <t>Подушка стеганная в один чехол без канта (вторая цена с кантом), чехол поликоттон (бязь, тик п/э)</t>
  </si>
  <si>
    <t>Подушка стеганная в один чехол без канта (вторая цена с кантом), чехол  тик 100% х/б</t>
  </si>
  <si>
    <t>цены от 07.08.19</t>
  </si>
  <si>
    <t>Травушка Текстиль</t>
  </si>
  <si>
    <t>Цены на подушки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</si>
</sst>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2ECF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1" fontId="0" fillId="0" borderId="1" xfId="0" applyNumberFormat="1" applyBorder="1"/>
    <xf numFmtId="1" fontId="0" fillId="0" borderId="7" xfId="0" applyNumberFormat="1" applyBorder="1"/>
    <xf numFmtId="1" fontId="0" fillId="0" borderId="5" xfId="0" applyNumberFormat="1" applyBorder="1"/>
    <xf numFmtId="1" fontId="0" fillId="3" borderId="5" xfId="0" applyNumberFormat="1" applyFill="1" applyBorder="1"/>
    <xf numFmtId="1" fontId="0" fillId="3" borderId="1" xfId="0" applyNumberFormat="1" applyFill="1" applyBorder="1"/>
    <xf numFmtId="1" fontId="0" fillId="3" borderId="7" xfId="0" applyNumberFormat="1" applyFill="1" applyBorder="1"/>
    <xf numFmtId="1" fontId="0" fillId="4" borderId="5" xfId="0" applyNumberFormat="1" applyFill="1" applyBorder="1"/>
    <xf numFmtId="1" fontId="0" fillId="4" borderId="1" xfId="0" applyNumberFormat="1" applyFill="1" applyBorder="1"/>
    <xf numFmtId="1" fontId="0" fillId="4" borderId="7" xfId="0" applyNumberFormat="1" applyFill="1" applyBorder="1"/>
    <xf numFmtId="0" fontId="0" fillId="2" borderId="5" xfId="0" applyFill="1" applyBorder="1" applyAlignment="1">
      <alignment wrapText="1"/>
    </xf>
    <xf numFmtId="1" fontId="0" fillId="4" borderId="6" xfId="0" applyNumberFormat="1" applyFill="1" applyBorder="1"/>
    <xf numFmtId="0" fontId="0" fillId="2" borderId="5" xfId="0" applyFill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1" fontId="0" fillId="4" borderId="11" xfId="0" applyNumberForma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1" fillId="4" borderId="13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vertical="center" wrapText="1"/>
    </xf>
    <xf numFmtId="1" fontId="0" fillId="4" borderId="13" xfId="0" applyNumberForma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wrapText="1"/>
    </xf>
    <xf numFmtId="1" fontId="0" fillId="4" borderId="13" xfId="0" applyNumberFormat="1" applyFill="1" applyBorder="1"/>
    <xf numFmtId="1" fontId="0" fillId="4" borderId="13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1" fontId="0" fillId="3" borderId="10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wrapText="1"/>
    </xf>
    <xf numFmtId="1" fontId="0" fillId="0" borderId="10" xfId="0" applyNumberFormat="1" applyBorder="1"/>
    <xf numFmtId="0" fontId="0" fillId="3" borderId="10" xfId="0" applyFill="1" applyBorder="1" applyAlignment="1">
      <alignment vertical="center" wrapText="1"/>
    </xf>
    <xf numFmtId="0" fontId="0" fillId="3" borderId="10" xfId="0" applyFill="1" applyBorder="1" applyAlignment="1">
      <alignment horizontal="center" wrapText="1"/>
    </xf>
    <xf numFmtId="1" fontId="0" fillId="3" borderId="10" xfId="0" applyNumberFormat="1" applyFill="1" applyBorder="1"/>
    <xf numFmtId="1" fontId="0" fillId="3" borderId="10" xfId="0" applyNumberFormat="1" applyFill="1" applyBorder="1" applyAlignment="1">
      <alignment horizontal="center"/>
    </xf>
    <xf numFmtId="0" fontId="1" fillId="0" borderId="4" xfId="0" applyFont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1" fontId="0" fillId="5" borderId="1" xfId="0" applyNumberFormat="1" applyFill="1" applyBorder="1"/>
    <xf numFmtId="1" fontId="0" fillId="5" borderId="5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3" xfId="0" applyFill="1" applyBorder="1" applyAlignment="1"/>
    <xf numFmtId="0" fontId="0" fillId="2" borderId="2" xfId="0" applyFill="1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1" fontId="0" fillId="3" borderId="9" xfId="0" applyNumberFormat="1" applyFill="1" applyBorder="1" applyAlignment="1">
      <alignment horizontal="center" vertical="center" wrapText="1"/>
    </xf>
    <xf numFmtId="1" fontId="0" fillId="3" borderId="10" xfId="0" applyNumberFormat="1" applyFill="1" applyBorder="1" applyAlignment="1">
      <alignment horizontal="center" vertical="center" wrapText="1"/>
    </xf>
    <xf numFmtId="1" fontId="0" fillId="3" borderId="11" xfId="0" applyNumberForma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7" xfId="0" applyFill="1" applyBorder="1" applyAlignment="1">
      <alignment vertical="center" wrapText="1"/>
    </xf>
    <xf numFmtId="1" fontId="0" fillId="4" borderId="9" xfId="0" applyNumberFormat="1" applyFill="1" applyBorder="1" applyAlignment="1">
      <alignment horizontal="center" vertical="center" wrapText="1"/>
    </xf>
    <xf numFmtId="1" fontId="0" fillId="4" borderId="10" xfId="0" applyNumberFormat="1" applyFill="1" applyBorder="1" applyAlignment="1">
      <alignment horizontal="center" vertical="center" wrapText="1"/>
    </xf>
    <xf numFmtId="1" fontId="0" fillId="4" borderId="11" xfId="0" applyNumberFormat="1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2ECFC"/>
      <color rgb="FFEAF1FA"/>
      <color rgb="FFFFFFFF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tabSelected="1" workbookViewId="0"/>
  </sheetViews>
  <sheetFormatPr defaultRowHeight="15" x14ac:dyDescent="0.25"/>
  <cols>
    <col min="2" max="2" width="34.140625" customWidth="1"/>
    <col min="3" max="3" width="20.85546875" customWidth="1"/>
    <col min="4" max="4" width="16.28515625" customWidth="1"/>
    <col min="5" max="5" width="6.28515625" hidden="1" customWidth="1"/>
    <col min="6" max="6" width="7.140625" hidden="1" customWidth="1"/>
    <col min="7" max="7" width="8" hidden="1" customWidth="1"/>
    <col min="8" max="8" width="0.28515625" hidden="1" customWidth="1"/>
  </cols>
  <sheetData>
    <row r="1" spans="1:12" ht="18.75" x14ac:dyDescent="0.3">
      <c r="B1" t="s">
        <v>29</v>
      </c>
      <c r="C1" s="104" t="s">
        <v>30</v>
      </c>
      <c r="D1" s="104"/>
    </row>
    <row r="2" spans="1:12" ht="18.75" x14ac:dyDescent="0.3">
      <c r="C2" s="105" t="s">
        <v>31</v>
      </c>
      <c r="D2" s="105"/>
    </row>
    <row r="3" spans="1:12" x14ac:dyDescent="0.25">
      <c r="A3" s="70" t="s">
        <v>15</v>
      </c>
      <c r="B3" s="70" t="s">
        <v>16</v>
      </c>
      <c r="C3" s="70" t="s">
        <v>4</v>
      </c>
      <c r="D3" s="70" t="s">
        <v>3</v>
      </c>
      <c r="E3" s="72" t="s">
        <v>8</v>
      </c>
      <c r="F3" s="73"/>
      <c r="G3" s="72" t="s">
        <v>9</v>
      </c>
      <c r="H3" s="73"/>
      <c r="I3" s="59" t="s">
        <v>17</v>
      </c>
      <c r="J3" s="60"/>
      <c r="K3" s="59" t="s">
        <v>18</v>
      </c>
      <c r="L3" s="60"/>
    </row>
    <row r="4" spans="1:12" ht="51.75" customHeight="1" x14ac:dyDescent="0.25">
      <c r="A4" s="71"/>
      <c r="B4" s="71"/>
      <c r="C4" s="71"/>
      <c r="D4" s="71"/>
      <c r="E4" s="19" t="s">
        <v>12</v>
      </c>
      <c r="F4" s="21" t="s">
        <v>11</v>
      </c>
      <c r="G4" s="21" t="s">
        <v>12</v>
      </c>
      <c r="H4" s="21" t="s">
        <v>11</v>
      </c>
      <c r="I4" s="21" t="s">
        <v>12</v>
      </c>
      <c r="J4" s="21" t="s">
        <v>11</v>
      </c>
      <c r="K4" s="21" t="s">
        <v>12</v>
      </c>
      <c r="L4" s="21" t="s">
        <v>11</v>
      </c>
    </row>
    <row r="5" spans="1:12" x14ac:dyDescent="0.25">
      <c r="A5" s="61" t="s">
        <v>19</v>
      </c>
      <c r="B5" s="64" t="s">
        <v>10</v>
      </c>
      <c r="C5" s="66" t="s">
        <v>5</v>
      </c>
      <c r="D5" s="1" t="s">
        <v>1</v>
      </c>
      <c r="E5" s="12">
        <f>(143*0.4)+(68*0.4)+(15+10+5+5)</f>
        <v>119.4</v>
      </c>
      <c r="F5" s="12">
        <f>(143*0.4)+(68*0.4)+(2*2)+(20+10+5+5)</f>
        <v>128.4</v>
      </c>
      <c r="G5" s="22">
        <f>E5*1.4</f>
        <v>167.16</v>
      </c>
      <c r="H5" s="22">
        <f>F5*1.4</f>
        <v>179.76</v>
      </c>
      <c r="I5" s="22">
        <f t="shared" ref="I5:J33" si="0">E5*1.2</f>
        <v>143.28</v>
      </c>
      <c r="J5" s="22">
        <f>F5*1.2</f>
        <v>154.08000000000001</v>
      </c>
      <c r="K5" s="22">
        <f t="shared" ref="K5:K13" si="1">E5*1.14</f>
        <v>136.11599999999999</v>
      </c>
      <c r="L5" s="22">
        <f t="shared" ref="L5:L13" si="2">F5*1.14</f>
        <v>146.376</v>
      </c>
    </row>
    <row r="6" spans="1:12" x14ac:dyDescent="0.25">
      <c r="A6" s="62"/>
      <c r="B6" s="64"/>
      <c r="C6" s="67"/>
      <c r="D6" s="1" t="s">
        <v>0</v>
      </c>
      <c r="E6" s="10">
        <f>(143*0.7)+(68*0.45)+(15+10+5+5)</f>
        <v>165.7</v>
      </c>
      <c r="F6" s="10">
        <f>(143*0.7)+(68*0.45)+(2*2.5)+(20+10+5+5)</f>
        <v>175.7</v>
      </c>
      <c r="G6" s="22">
        <f t="shared" ref="G6:H33" si="3">E6*1.4</f>
        <v>231.97999999999996</v>
      </c>
      <c r="H6" s="23">
        <f t="shared" si="3"/>
        <v>245.97999999999996</v>
      </c>
      <c r="I6" s="24">
        <f t="shared" si="0"/>
        <v>198.83999999999997</v>
      </c>
      <c r="J6" s="22">
        <f t="shared" si="0"/>
        <v>210.83999999999997</v>
      </c>
      <c r="K6" s="24">
        <f t="shared" si="1"/>
        <v>188.89799999999997</v>
      </c>
      <c r="L6" s="22">
        <f t="shared" si="2"/>
        <v>200.29799999999997</v>
      </c>
    </row>
    <row r="7" spans="1:12" ht="15.75" thickBot="1" x14ac:dyDescent="0.3">
      <c r="A7" s="63"/>
      <c r="B7" s="65"/>
      <c r="C7" s="67"/>
      <c r="D7" s="2" t="s">
        <v>2</v>
      </c>
      <c r="E7" s="11">
        <f>(143*1)+(68*0.55)+(15+10+5+5)</f>
        <v>215.4</v>
      </c>
      <c r="F7" s="11">
        <f>(143*1)+(68*0.55)+(2*2.8)+(20+10+5+5)</f>
        <v>226</v>
      </c>
      <c r="G7" s="25">
        <f t="shared" si="3"/>
        <v>301.56</v>
      </c>
      <c r="H7" s="26">
        <f t="shared" si="3"/>
        <v>316.39999999999998</v>
      </c>
      <c r="I7" s="27">
        <f t="shared" si="0"/>
        <v>258.48</v>
      </c>
      <c r="J7" s="26">
        <f t="shared" si="0"/>
        <v>271.2</v>
      </c>
      <c r="K7" s="26">
        <f t="shared" si="1"/>
        <v>245.55599999999998</v>
      </c>
      <c r="L7" s="26">
        <f t="shared" si="2"/>
        <v>257.64</v>
      </c>
    </row>
    <row r="8" spans="1:12" x14ac:dyDescent="0.25">
      <c r="A8" s="61" t="s">
        <v>19</v>
      </c>
      <c r="B8" s="64" t="s">
        <v>13</v>
      </c>
      <c r="C8" s="67"/>
      <c r="D8" s="1" t="s">
        <v>1</v>
      </c>
      <c r="E8" s="12">
        <f>(143*0.4)+(115*0.4)+(15+10+5+5)</f>
        <v>138.19999999999999</v>
      </c>
      <c r="F8" s="12">
        <f>(143*0.4)+(115*0.4)+(2*2)+(20+10+5+5)</f>
        <v>147.19999999999999</v>
      </c>
      <c r="G8" s="22">
        <f t="shared" si="3"/>
        <v>193.47999999999996</v>
      </c>
      <c r="H8" s="22">
        <f t="shared" si="3"/>
        <v>206.07999999999998</v>
      </c>
      <c r="I8" s="22">
        <f t="shared" si="0"/>
        <v>165.83999999999997</v>
      </c>
      <c r="J8" s="22">
        <f t="shared" si="0"/>
        <v>176.64</v>
      </c>
      <c r="K8" s="22">
        <f t="shared" si="1"/>
        <v>157.54799999999997</v>
      </c>
      <c r="L8" s="22">
        <f t="shared" si="2"/>
        <v>167.80799999999996</v>
      </c>
    </row>
    <row r="9" spans="1:12" x14ac:dyDescent="0.25">
      <c r="A9" s="62"/>
      <c r="B9" s="64"/>
      <c r="C9" s="67"/>
      <c r="D9" s="1" t="s">
        <v>0</v>
      </c>
      <c r="E9" s="10">
        <f>(143*0.7)+(115*0.45)+(15+10+5+5)</f>
        <v>186.85</v>
      </c>
      <c r="F9" s="10">
        <f>(143*0.7)+(115*0.45)+(2*2.5)+(20+10+5+5)</f>
        <v>196.85</v>
      </c>
      <c r="G9" s="22">
        <f t="shared" si="3"/>
        <v>261.58999999999997</v>
      </c>
      <c r="H9" s="22">
        <f t="shared" si="3"/>
        <v>275.58999999999997</v>
      </c>
      <c r="I9" s="24">
        <f t="shared" si="0"/>
        <v>224.22</v>
      </c>
      <c r="J9" s="22">
        <f t="shared" si="0"/>
        <v>236.21999999999997</v>
      </c>
      <c r="K9" s="24">
        <f t="shared" si="1"/>
        <v>213.00899999999999</v>
      </c>
      <c r="L9" s="22">
        <f t="shared" si="2"/>
        <v>224.40899999999996</v>
      </c>
    </row>
    <row r="10" spans="1:12" ht="15.75" thickBot="1" x14ac:dyDescent="0.3">
      <c r="A10" s="63"/>
      <c r="B10" s="65"/>
      <c r="C10" s="67"/>
      <c r="D10" s="2" t="s">
        <v>2</v>
      </c>
      <c r="E10" s="11">
        <f>(143*1)+(115*0.55)+(15+10+5+5)</f>
        <v>241.25</v>
      </c>
      <c r="F10" s="11">
        <f>(143*1)+(115*0.55)+(2*2.8)+(20+10+5+5)</f>
        <v>251.85</v>
      </c>
      <c r="G10" s="26">
        <f t="shared" si="3"/>
        <v>337.75</v>
      </c>
      <c r="H10" s="26">
        <f t="shared" si="3"/>
        <v>352.59</v>
      </c>
      <c r="I10" s="26">
        <f t="shared" si="0"/>
        <v>289.5</v>
      </c>
      <c r="J10" s="26">
        <f t="shared" si="0"/>
        <v>302.21999999999997</v>
      </c>
      <c r="K10" s="26">
        <f t="shared" si="1"/>
        <v>275.02499999999998</v>
      </c>
      <c r="L10" s="26">
        <f t="shared" si="2"/>
        <v>287.10899999999998</v>
      </c>
    </row>
    <row r="11" spans="1:12" x14ac:dyDescent="0.25">
      <c r="A11" s="61" t="s">
        <v>19</v>
      </c>
      <c r="B11" s="69" t="s">
        <v>14</v>
      </c>
      <c r="C11" s="67"/>
      <c r="D11" s="3" t="s">
        <v>1</v>
      </c>
      <c r="E11" s="12">
        <f>(143*0.4)+(200*0.4)+(15+10+5+5)</f>
        <v>172.2</v>
      </c>
      <c r="F11" s="12">
        <f>(143*0.4)+(200*0.4)+(2*2)+(20+10+5+5)</f>
        <v>181.2</v>
      </c>
      <c r="G11" s="22">
        <f t="shared" si="3"/>
        <v>241.07999999999996</v>
      </c>
      <c r="H11" s="22">
        <f t="shared" si="3"/>
        <v>253.67999999999998</v>
      </c>
      <c r="I11" s="22">
        <f t="shared" si="0"/>
        <v>206.64</v>
      </c>
      <c r="J11" s="22">
        <f t="shared" si="0"/>
        <v>217.43999999999997</v>
      </c>
      <c r="K11" s="22">
        <f t="shared" si="1"/>
        <v>196.30799999999996</v>
      </c>
      <c r="L11" s="22">
        <f t="shared" si="2"/>
        <v>206.56799999999996</v>
      </c>
    </row>
    <row r="12" spans="1:12" x14ac:dyDescent="0.25">
      <c r="A12" s="62"/>
      <c r="B12" s="64"/>
      <c r="C12" s="67"/>
      <c r="D12" s="1" t="s">
        <v>0</v>
      </c>
      <c r="E12" s="10">
        <f>(143*0.7)+(200*0.45)+(15+10+5+5)</f>
        <v>225.1</v>
      </c>
      <c r="F12" s="10">
        <f>(143*0.7)+(200*0.45)+(2*2.5)+(20+10+5+5)</f>
        <v>235.1</v>
      </c>
      <c r="G12" s="22">
        <f t="shared" si="3"/>
        <v>315.14</v>
      </c>
      <c r="H12" s="22">
        <f t="shared" si="3"/>
        <v>329.14</v>
      </c>
      <c r="I12" s="24">
        <f t="shared" si="0"/>
        <v>270.12</v>
      </c>
      <c r="J12" s="22">
        <f t="shared" si="0"/>
        <v>282.12</v>
      </c>
      <c r="K12" s="24">
        <f t="shared" si="1"/>
        <v>256.61399999999998</v>
      </c>
      <c r="L12" s="22">
        <f t="shared" si="2"/>
        <v>268.01399999999995</v>
      </c>
    </row>
    <row r="13" spans="1:12" ht="15.75" thickBot="1" x14ac:dyDescent="0.3">
      <c r="A13" s="63"/>
      <c r="B13" s="65"/>
      <c r="C13" s="68"/>
      <c r="D13" s="2" t="s">
        <v>2</v>
      </c>
      <c r="E13" s="11">
        <f>(143*1)+(200*0.55)+(15+10+5+5)</f>
        <v>288</v>
      </c>
      <c r="F13" s="11">
        <f>(143*1)+(200*0.55)+(1.5*2.8)+(20+10+5+5)</f>
        <v>297.2</v>
      </c>
      <c r="G13" s="26">
        <f t="shared" si="3"/>
        <v>403.2</v>
      </c>
      <c r="H13" s="26">
        <f t="shared" si="3"/>
        <v>416.08</v>
      </c>
      <c r="I13" s="26">
        <f t="shared" si="0"/>
        <v>345.59999999999997</v>
      </c>
      <c r="J13" s="26">
        <f t="shared" si="0"/>
        <v>356.64</v>
      </c>
      <c r="K13" s="26">
        <f t="shared" si="1"/>
        <v>328.32</v>
      </c>
      <c r="L13" s="26">
        <f t="shared" si="2"/>
        <v>338.80799999999994</v>
      </c>
    </row>
    <row r="14" spans="1:12" ht="21" customHeight="1" thickBot="1" x14ac:dyDescent="0.3">
      <c r="A14" s="43"/>
      <c r="B14" s="47"/>
      <c r="C14" s="44"/>
      <c r="D14" s="48"/>
      <c r="E14" s="49"/>
      <c r="F14" s="49"/>
      <c r="G14" s="23"/>
      <c r="H14" s="23"/>
      <c r="I14" s="23"/>
      <c r="J14" s="23"/>
      <c r="K14" s="23"/>
      <c r="L14" s="23"/>
    </row>
    <row r="15" spans="1:12" x14ac:dyDescent="0.25">
      <c r="A15" s="74" t="s">
        <v>19</v>
      </c>
      <c r="B15" s="77" t="s">
        <v>10</v>
      </c>
      <c r="C15" s="79" t="s">
        <v>6</v>
      </c>
      <c r="D15" s="5" t="s">
        <v>1</v>
      </c>
      <c r="E15" s="13">
        <f>(148*0.4)+(68*0.4)+(15+10+5+5)</f>
        <v>121.4</v>
      </c>
      <c r="F15" s="13">
        <f>(148*0.4)+(68*0.4)+(2*2)+(20+10+5+5)</f>
        <v>130.4</v>
      </c>
      <c r="G15" s="28">
        <f t="shared" si="3"/>
        <v>169.96</v>
      </c>
      <c r="H15" s="28">
        <f t="shared" si="3"/>
        <v>182.56</v>
      </c>
      <c r="I15" s="28">
        <f t="shared" si="0"/>
        <v>145.68</v>
      </c>
      <c r="J15" s="28">
        <f t="shared" si="0"/>
        <v>156.47999999999999</v>
      </c>
      <c r="K15" s="28">
        <f t="shared" ref="K15:K23" si="4">E15*1.14</f>
        <v>138.39599999999999</v>
      </c>
      <c r="L15" s="28">
        <f t="shared" ref="L15:L23" si="5">F15*1.14</f>
        <v>148.65600000000001</v>
      </c>
    </row>
    <row r="16" spans="1:12" x14ac:dyDescent="0.25">
      <c r="A16" s="75"/>
      <c r="B16" s="77"/>
      <c r="C16" s="80"/>
      <c r="D16" s="5" t="s">
        <v>0</v>
      </c>
      <c r="E16" s="14">
        <f>(148*0.7)+(68*0.45)+(15+10+5+5)</f>
        <v>169.2</v>
      </c>
      <c r="F16" s="14">
        <f>(148*0.7)+(68*0.45)+(2*2.5)+(20+10+5+5)</f>
        <v>179.2</v>
      </c>
      <c r="G16" s="28">
        <f t="shared" si="3"/>
        <v>236.87999999999997</v>
      </c>
      <c r="H16" s="28">
        <f t="shared" si="3"/>
        <v>250.87999999999997</v>
      </c>
      <c r="I16" s="29">
        <f t="shared" si="0"/>
        <v>203.04</v>
      </c>
      <c r="J16" s="28">
        <f t="shared" si="0"/>
        <v>215.04</v>
      </c>
      <c r="K16" s="29">
        <f t="shared" si="4"/>
        <v>192.88799999999998</v>
      </c>
      <c r="L16" s="28">
        <f t="shared" si="5"/>
        <v>204.28799999999998</v>
      </c>
    </row>
    <row r="17" spans="1:12" ht="15.75" thickBot="1" x14ac:dyDescent="0.3">
      <c r="A17" s="76"/>
      <c r="B17" s="78"/>
      <c r="C17" s="80"/>
      <c r="D17" s="6" t="s">
        <v>2</v>
      </c>
      <c r="E17" s="15">
        <f>(148*1)+(68*0.55)+(15+10+5+5)</f>
        <v>220.4</v>
      </c>
      <c r="F17" s="15">
        <f>(148*1)+(68*0.55)+(2*2.8)+(20+10+5+5)</f>
        <v>231</v>
      </c>
      <c r="G17" s="30">
        <f t="shared" si="3"/>
        <v>308.56</v>
      </c>
      <c r="H17" s="30">
        <f t="shared" si="3"/>
        <v>323.39999999999998</v>
      </c>
      <c r="I17" s="30">
        <f t="shared" si="0"/>
        <v>264.48</v>
      </c>
      <c r="J17" s="30">
        <f t="shared" si="0"/>
        <v>277.2</v>
      </c>
      <c r="K17" s="30">
        <f t="shared" si="4"/>
        <v>251.25599999999997</v>
      </c>
      <c r="L17" s="30">
        <f t="shared" si="5"/>
        <v>263.33999999999997</v>
      </c>
    </row>
    <row r="18" spans="1:12" x14ac:dyDescent="0.25">
      <c r="A18" s="74" t="s">
        <v>19</v>
      </c>
      <c r="B18" s="77" t="s">
        <v>13</v>
      </c>
      <c r="C18" s="80"/>
      <c r="D18" s="5" t="s">
        <v>1</v>
      </c>
      <c r="E18" s="13">
        <f>(148*0.4)+(115*0.4)+(15+10+5+5)</f>
        <v>140.19999999999999</v>
      </c>
      <c r="F18" s="13">
        <f>(148*0.4)+(115*0.4)+(2*2)+(20+10+5+5)</f>
        <v>149.19999999999999</v>
      </c>
      <c r="G18" s="28">
        <f t="shared" si="3"/>
        <v>196.27999999999997</v>
      </c>
      <c r="H18" s="28">
        <f t="shared" si="3"/>
        <v>208.87999999999997</v>
      </c>
      <c r="I18" s="28">
        <f t="shared" si="0"/>
        <v>168.23999999999998</v>
      </c>
      <c r="J18" s="28">
        <f t="shared" si="0"/>
        <v>179.04</v>
      </c>
      <c r="K18" s="28">
        <f t="shared" si="4"/>
        <v>159.82799999999997</v>
      </c>
      <c r="L18" s="28">
        <f t="shared" si="5"/>
        <v>170.08799999999997</v>
      </c>
    </row>
    <row r="19" spans="1:12" x14ac:dyDescent="0.25">
      <c r="A19" s="75"/>
      <c r="B19" s="77"/>
      <c r="C19" s="80"/>
      <c r="D19" s="5" t="s">
        <v>0</v>
      </c>
      <c r="E19" s="14">
        <f>(148*0.7)+(115*0.45)+(15+10+5+5)</f>
        <v>190.35</v>
      </c>
      <c r="F19" s="14">
        <f>(148*0.7)+(115*0.45)+(2*2.5)+(20+10+5+5)</f>
        <v>200.35</v>
      </c>
      <c r="G19" s="28">
        <f t="shared" si="3"/>
        <v>266.48999999999995</v>
      </c>
      <c r="H19" s="28">
        <f t="shared" si="3"/>
        <v>280.48999999999995</v>
      </c>
      <c r="I19" s="29">
        <f t="shared" si="0"/>
        <v>228.42</v>
      </c>
      <c r="J19" s="28">
        <f t="shared" si="0"/>
        <v>240.42</v>
      </c>
      <c r="K19" s="29">
        <f t="shared" si="4"/>
        <v>216.99899999999997</v>
      </c>
      <c r="L19" s="28">
        <f t="shared" si="5"/>
        <v>228.39899999999997</v>
      </c>
    </row>
    <row r="20" spans="1:12" ht="15.75" thickBot="1" x14ac:dyDescent="0.3">
      <c r="A20" s="76"/>
      <c r="B20" s="78"/>
      <c r="C20" s="80"/>
      <c r="D20" s="6" t="s">
        <v>2</v>
      </c>
      <c r="E20" s="15">
        <f>(148*1)+(115*0.55)+(15+10+5+5)</f>
        <v>246.25</v>
      </c>
      <c r="F20" s="15">
        <f>(148*1)+(115*0.55)+(2*2.8)+(20+10+5+5)</f>
        <v>256.85000000000002</v>
      </c>
      <c r="G20" s="30">
        <f t="shared" si="3"/>
        <v>344.75</v>
      </c>
      <c r="H20" s="30">
        <f t="shared" si="3"/>
        <v>359.59000000000003</v>
      </c>
      <c r="I20" s="30">
        <f t="shared" si="0"/>
        <v>295.5</v>
      </c>
      <c r="J20" s="30">
        <f t="shared" si="0"/>
        <v>308.22000000000003</v>
      </c>
      <c r="K20" s="30">
        <f t="shared" si="4"/>
        <v>280.72499999999997</v>
      </c>
      <c r="L20" s="30">
        <f t="shared" si="5"/>
        <v>292.80900000000003</v>
      </c>
    </row>
    <row r="21" spans="1:12" x14ac:dyDescent="0.25">
      <c r="A21" s="74" t="s">
        <v>19</v>
      </c>
      <c r="B21" s="82" t="s">
        <v>14</v>
      </c>
      <c r="C21" s="80"/>
      <c r="D21" s="4" t="s">
        <v>1</v>
      </c>
      <c r="E21" s="13">
        <f>(148*0.4)+(200*0.4)+(15+10+5+5)</f>
        <v>174.2</v>
      </c>
      <c r="F21" s="13">
        <f>(148*0.4)+(200*0.4)+(2*2)+(20+10+5+5)</f>
        <v>183.2</v>
      </c>
      <c r="G21" s="28">
        <f t="shared" si="3"/>
        <v>243.87999999999997</v>
      </c>
      <c r="H21" s="28">
        <f t="shared" si="3"/>
        <v>256.47999999999996</v>
      </c>
      <c r="I21" s="28">
        <f t="shared" si="0"/>
        <v>209.04</v>
      </c>
      <c r="J21" s="28">
        <f t="shared" si="0"/>
        <v>219.83999999999997</v>
      </c>
      <c r="K21" s="28">
        <f t="shared" si="4"/>
        <v>198.58799999999997</v>
      </c>
      <c r="L21" s="28">
        <f t="shared" si="5"/>
        <v>208.84799999999996</v>
      </c>
    </row>
    <row r="22" spans="1:12" x14ac:dyDescent="0.25">
      <c r="A22" s="75"/>
      <c r="B22" s="77"/>
      <c r="C22" s="80"/>
      <c r="D22" s="5" t="s">
        <v>0</v>
      </c>
      <c r="E22" s="14">
        <f>(148*0.7)+(200*0.45)+(15+10+5+5)</f>
        <v>228.6</v>
      </c>
      <c r="F22" s="14">
        <f>(148*0.7)+(200*0.45)+(2*2.5)+(20+10+5+5)</f>
        <v>238.6</v>
      </c>
      <c r="G22" s="28">
        <f t="shared" si="3"/>
        <v>320.03999999999996</v>
      </c>
      <c r="H22" s="28">
        <f t="shared" si="3"/>
        <v>334.03999999999996</v>
      </c>
      <c r="I22" s="29">
        <f t="shared" si="0"/>
        <v>274.32</v>
      </c>
      <c r="J22" s="28">
        <f t="shared" si="0"/>
        <v>286.32</v>
      </c>
      <c r="K22" s="29">
        <f t="shared" si="4"/>
        <v>260.60399999999998</v>
      </c>
      <c r="L22" s="28">
        <f t="shared" si="5"/>
        <v>272.00399999999996</v>
      </c>
    </row>
    <row r="23" spans="1:12" ht="15.75" thickBot="1" x14ac:dyDescent="0.3">
      <c r="A23" s="76"/>
      <c r="B23" s="78"/>
      <c r="C23" s="81"/>
      <c r="D23" s="6" t="s">
        <v>2</v>
      </c>
      <c r="E23" s="15">
        <f>(148*1)+(200*0.55)+(15+10+5+5)</f>
        <v>293</v>
      </c>
      <c r="F23" s="15">
        <f>(148*1)+(200*0.55)+(2*2.8)+(20+10+5+5)</f>
        <v>303.60000000000002</v>
      </c>
      <c r="G23" s="30">
        <f t="shared" si="3"/>
        <v>410.2</v>
      </c>
      <c r="H23" s="30">
        <f t="shared" si="3"/>
        <v>425.04</v>
      </c>
      <c r="I23" s="30">
        <f t="shared" si="0"/>
        <v>351.59999999999997</v>
      </c>
      <c r="J23" s="30">
        <f t="shared" si="0"/>
        <v>364.32</v>
      </c>
      <c r="K23" s="30">
        <f t="shared" si="4"/>
        <v>334.02</v>
      </c>
      <c r="L23" s="30">
        <f t="shared" si="5"/>
        <v>346.10399999999998</v>
      </c>
    </row>
    <row r="24" spans="1:12" ht="20.25" customHeight="1" thickBot="1" x14ac:dyDescent="0.3">
      <c r="A24" s="45"/>
      <c r="B24" s="50"/>
      <c r="C24" s="46"/>
      <c r="D24" s="51"/>
      <c r="E24" s="52"/>
      <c r="F24" s="52"/>
      <c r="G24" s="53"/>
      <c r="H24" s="53"/>
      <c r="I24" s="53"/>
      <c r="J24" s="53"/>
      <c r="K24" s="53"/>
      <c r="L24" s="53"/>
    </row>
    <row r="25" spans="1:12" x14ac:dyDescent="0.25">
      <c r="A25" s="83" t="s">
        <v>20</v>
      </c>
      <c r="B25" s="86" t="s">
        <v>10</v>
      </c>
      <c r="C25" s="89" t="s">
        <v>7</v>
      </c>
      <c r="D25" s="7" t="s">
        <v>1</v>
      </c>
      <c r="E25" s="20">
        <f>(158*0.45)+(68*0.4)+(15+10+5+5)</f>
        <v>133.30000000000001</v>
      </c>
      <c r="F25" s="20">
        <f>(158*0.45)+(68*0.4)+(2*2)+(20+10+5+5)</f>
        <v>142.30000000000001</v>
      </c>
      <c r="G25" s="31">
        <f t="shared" si="3"/>
        <v>186.62</v>
      </c>
      <c r="H25" s="31">
        <f t="shared" si="3"/>
        <v>199.22</v>
      </c>
      <c r="I25" s="31">
        <f t="shared" si="0"/>
        <v>159.96</v>
      </c>
      <c r="J25" s="31">
        <f t="shared" si="0"/>
        <v>170.76000000000002</v>
      </c>
      <c r="K25" s="31">
        <f t="shared" ref="K25:K33" si="6">E25*1.14</f>
        <v>151.96199999999999</v>
      </c>
      <c r="L25" s="31">
        <f t="shared" ref="L25:L33" si="7">F25*1.14</f>
        <v>162.22200000000001</v>
      </c>
    </row>
    <row r="26" spans="1:12" x14ac:dyDescent="0.25">
      <c r="A26" s="84"/>
      <c r="B26" s="87"/>
      <c r="C26" s="90"/>
      <c r="D26" s="8" t="s">
        <v>0</v>
      </c>
      <c r="E26" s="17">
        <f>(158*0.9)+(68*0.45)+(15+10+5+5)</f>
        <v>207.8</v>
      </c>
      <c r="F26" s="17">
        <f>(158*0.9)+(68*0.45)+(2*2.5)+(20+10+5+5)</f>
        <v>217.8</v>
      </c>
      <c r="G26" s="32">
        <f t="shared" si="3"/>
        <v>290.92</v>
      </c>
      <c r="H26" s="32">
        <f t="shared" si="3"/>
        <v>304.92</v>
      </c>
      <c r="I26" s="33">
        <f t="shared" si="0"/>
        <v>249.36</v>
      </c>
      <c r="J26" s="32">
        <f t="shared" si="0"/>
        <v>261.36</v>
      </c>
      <c r="K26" s="33">
        <f t="shared" si="6"/>
        <v>236.892</v>
      </c>
      <c r="L26" s="32">
        <f t="shared" si="7"/>
        <v>248.292</v>
      </c>
    </row>
    <row r="27" spans="1:12" ht="15.75" thickBot="1" x14ac:dyDescent="0.3">
      <c r="A27" s="85"/>
      <c r="B27" s="88"/>
      <c r="C27" s="90"/>
      <c r="D27" s="9" t="s">
        <v>2</v>
      </c>
      <c r="E27" s="18">
        <f>(158*1.3)+(68*0.55)+(15+10+5+5)</f>
        <v>277.8</v>
      </c>
      <c r="F27" s="18">
        <f>(158*1.3)+(62*0.55)+(2*2.8)+(20+10+5+5)</f>
        <v>285.10000000000002</v>
      </c>
      <c r="G27" s="34">
        <f t="shared" si="3"/>
        <v>388.92</v>
      </c>
      <c r="H27" s="34">
        <f t="shared" si="3"/>
        <v>399.14</v>
      </c>
      <c r="I27" s="34">
        <f t="shared" si="0"/>
        <v>333.36</v>
      </c>
      <c r="J27" s="34">
        <f t="shared" si="0"/>
        <v>342.12</v>
      </c>
      <c r="K27" s="34">
        <f t="shared" si="6"/>
        <v>316.69200000000001</v>
      </c>
      <c r="L27" s="34">
        <f t="shared" si="7"/>
        <v>325.01400000000001</v>
      </c>
    </row>
    <row r="28" spans="1:12" x14ac:dyDescent="0.25">
      <c r="A28" s="83" t="s">
        <v>20</v>
      </c>
      <c r="B28" s="87" t="s">
        <v>13</v>
      </c>
      <c r="C28" s="90"/>
      <c r="D28" s="8" t="s">
        <v>1</v>
      </c>
      <c r="E28" s="16">
        <f>(158*0.45)+(115*0.4)+(15+10+5+5)</f>
        <v>152.10000000000002</v>
      </c>
      <c r="F28" s="16">
        <f>(158*0.45)+(115*0.4)+(2*2)+(20+10+5+5)</f>
        <v>161.10000000000002</v>
      </c>
      <c r="G28" s="32">
        <f t="shared" si="3"/>
        <v>212.94000000000003</v>
      </c>
      <c r="H28" s="32">
        <f t="shared" si="3"/>
        <v>225.54000000000002</v>
      </c>
      <c r="I28" s="32">
        <f t="shared" si="0"/>
        <v>182.52</v>
      </c>
      <c r="J28" s="32">
        <f t="shared" si="0"/>
        <v>193.32000000000002</v>
      </c>
      <c r="K28" s="32">
        <f t="shared" si="6"/>
        <v>173.39400000000001</v>
      </c>
      <c r="L28" s="32">
        <f t="shared" si="7"/>
        <v>183.654</v>
      </c>
    </row>
    <row r="29" spans="1:12" x14ac:dyDescent="0.25">
      <c r="A29" s="84"/>
      <c r="B29" s="87"/>
      <c r="C29" s="90"/>
      <c r="D29" s="8" t="s">
        <v>0</v>
      </c>
      <c r="E29" s="17">
        <f>(158*0.9)+(115*0.45)+(15+10+5+5)</f>
        <v>228.95000000000002</v>
      </c>
      <c r="F29" s="17">
        <f>(158*0.9)+(115*0.45)+(2*2.5)+(20+10+5+5)</f>
        <v>238.95000000000002</v>
      </c>
      <c r="G29" s="32">
        <f t="shared" si="3"/>
        <v>320.53000000000003</v>
      </c>
      <c r="H29" s="32">
        <f t="shared" si="3"/>
        <v>334.53000000000003</v>
      </c>
      <c r="I29" s="33">
        <f t="shared" si="0"/>
        <v>274.74</v>
      </c>
      <c r="J29" s="32">
        <f t="shared" si="0"/>
        <v>286.74</v>
      </c>
      <c r="K29" s="33">
        <f t="shared" si="6"/>
        <v>261.00299999999999</v>
      </c>
      <c r="L29" s="32">
        <f t="shared" si="7"/>
        <v>272.40300000000002</v>
      </c>
    </row>
    <row r="30" spans="1:12" ht="15.75" thickBot="1" x14ac:dyDescent="0.3">
      <c r="A30" s="85"/>
      <c r="B30" s="88"/>
      <c r="C30" s="90"/>
      <c r="D30" s="9" t="s">
        <v>2</v>
      </c>
      <c r="E30" s="18">
        <f>(158*1.3)+(115*0.55)+(15+10+5+5)</f>
        <v>303.65000000000003</v>
      </c>
      <c r="F30" s="18">
        <f>(158*1.3)+(115*0.55)+(2*2.8)+(20+10+5+5)</f>
        <v>314.25000000000006</v>
      </c>
      <c r="G30" s="34">
        <f t="shared" si="3"/>
        <v>425.11</v>
      </c>
      <c r="H30" s="34">
        <f t="shared" si="3"/>
        <v>439.95000000000005</v>
      </c>
      <c r="I30" s="34">
        <f t="shared" si="0"/>
        <v>364.38000000000005</v>
      </c>
      <c r="J30" s="34">
        <f t="shared" si="0"/>
        <v>377.10000000000008</v>
      </c>
      <c r="K30" s="34">
        <f t="shared" si="6"/>
        <v>346.161</v>
      </c>
      <c r="L30" s="34">
        <f t="shared" si="7"/>
        <v>358.24500000000006</v>
      </c>
    </row>
    <row r="31" spans="1:12" x14ac:dyDescent="0.25">
      <c r="A31" s="83" t="s">
        <v>20</v>
      </c>
      <c r="B31" s="92" t="s">
        <v>14</v>
      </c>
      <c r="C31" s="90"/>
      <c r="D31" s="7" t="s">
        <v>1</v>
      </c>
      <c r="E31" s="16">
        <f>(158*0.45)+(200*0.4)+(15+10+5+5)</f>
        <v>186.10000000000002</v>
      </c>
      <c r="F31" s="16">
        <f>(158*0.45)+(200*0.4)+(2*2)+(20+10+5+5)</f>
        <v>195.10000000000002</v>
      </c>
      <c r="G31" s="32">
        <f t="shared" si="3"/>
        <v>260.54000000000002</v>
      </c>
      <c r="H31" s="32">
        <f t="shared" si="3"/>
        <v>273.14</v>
      </c>
      <c r="I31" s="32">
        <f t="shared" si="0"/>
        <v>223.32000000000002</v>
      </c>
      <c r="J31" s="32">
        <f t="shared" si="0"/>
        <v>234.12</v>
      </c>
      <c r="K31" s="32">
        <f t="shared" si="6"/>
        <v>212.154</v>
      </c>
      <c r="L31" s="32">
        <f t="shared" si="7"/>
        <v>222.41400000000002</v>
      </c>
    </row>
    <row r="32" spans="1:12" x14ac:dyDescent="0.25">
      <c r="A32" s="84"/>
      <c r="B32" s="87"/>
      <c r="C32" s="90"/>
      <c r="D32" s="8" t="s">
        <v>0</v>
      </c>
      <c r="E32" s="17">
        <f>(158*0.9)+(200*0.45)+(15+10+5+5)</f>
        <v>267.20000000000005</v>
      </c>
      <c r="F32" s="17">
        <f>(158*0.9)+(200*0.45)+(2*2.5)+(20+10+5+5)</f>
        <v>277.20000000000005</v>
      </c>
      <c r="G32" s="32">
        <f t="shared" si="3"/>
        <v>374.08000000000004</v>
      </c>
      <c r="H32" s="32">
        <f t="shared" si="3"/>
        <v>388.08000000000004</v>
      </c>
      <c r="I32" s="33">
        <f t="shared" si="0"/>
        <v>320.64000000000004</v>
      </c>
      <c r="J32" s="32">
        <f t="shared" si="0"/>
        <v>332.64000000000004</v>
      </c>
      <c r="K32" s="33">
        <f t="shared" si="6"/>
        <v>304.608</v>
      </c>
      <c r="L32" s="32">
        <f t="shared" si="7"/>
        <v>316.00800000000004</v>
      </c>
    </row>
    <row r="33" spans="1:12" ht="15.75" thickBot="1" x14ac:dyDescent="0.3">
      <c r="A33" s="85"/>
      <c r="B33" s="88"/>
      <c r="C33" s="91"/>
      <c r="D33" s="9" t="s">
        <v>2</v>
      </c>
      <c r="E33" s="18">
        <f>(158*1.3)+(200*0.55)+(15+10+5+5)</f>
        <v>350.40000000000003</v>
      </c>
      <c r="F33" s="18">
        <f>(158*1.3)+(200*0.55)+(2*2.8)+(20+10+5+5)</f>
        <v>361.00000000000006</v>
      </c>
      <c r="G33" s="34">
        <f t="shared" si="3"/>
        <v>490.56</v>
      </c>
      <c r="H33" s="35">
        <f t="shared" si="3"/>
        <v>505.40000000000003</v>
      </c>
      <c r="I33" s="34">
        <f t="shared" si="0"/>
        <v>420.48</v>
      </c>
      <c r="J33" s="35">
        <f t="shared" si="0"/>
        <v>433.20000000000005</v>
      </c>
      <c r="K33" s="34">
        <f t="shared" si="6"/>
        <v>399.45600000000002</v>
      </c>
      <c r="L33" s="35">
        <f t="shared" si="7"/>
        <v>411.54</v>
      </c>
    </row>
    <row r="35" spans="1:12" x14ac:dyDescent="0.25">
      <c r="A35" s="70" t="s">
        <v>15</v>
      </c>
      <c r="B35" s="70" t="s">
        <v>16</v>
      </c>
      <c r="C35" s="70" t="s">
        <v>4</v>
      </c>
      <c r="D35" s="70" t="s">
        <v>3</v>
      </c>
      <c r="E35" s="72" t="s">
        <v>8</v>
      </c>
      <c r="F35" s="73"/>
      <c r="G35" s="72" t="s">
        <v>9</v>
      </c>
      <c r="H35" s="73"/>
      <c r="I35" s="59" t="s">
        <v>17</v>
      </c>
      <c r="J35" s="60"/>
      <c r="K35" s="59" t="s">
        <v>18</v>
      </c>
      <c r="L35" s="60"/>
    </row>
    <row r="36" spans="1:12" ht="105" x14ac:dyDescent="0.25">
      <c r="A36" s="71"/>
      <c r="B36" s="71"/>
      <c r="C36" s="71"/>
      <c r="D36" s="71"/>
      <c r="E36" s="19" t="s">
        <v>12</v>
      </c>
      <c r="F36" s="21" t="s">
        <v>11</v>
      </c>
      <c r="G36" s="21" t="s">
        <v>12</v>
      </c>
      <c r="H36" s="21" t="s">
        <v>11</v>
      </c>
      <c r="I36" s="21" t="s">
        <v>12</v>
      </c>
      <c r="J36" s="21" t="s">
        <v>11</v>
      </c>
      <c r="K36" s="21" t="s">
        <v>12</v>
      </c>
      <c r="L36" s="21" t="s">
        <v>11</v>
      </c>
    </row>
    <row r="37" spans="1:12" x14ac:dyDescent="0.25">
      <c r="A37" s="62" t="s">
        <v>21</v>
      </c>
      <c r="B37" s="93" t="s">
        <v>26</v>
      </c>
      <c r="C37" s="67" t="s">
        <v>5</v>
      </c>
      <c r="D37" s="36" t="s">
        <v>1</v>
      </c>
      <c r="E37" s="12">
        <f>(143*0.4)+((68+29+8+40)*0.4)+(15+10+5+5+5)</f>
        <v>155.19999999999999</v>
      </c>
      <c r="F37" s="12">
        <f>(143*0.4)+((68+29+8+40)*0.4)+(2*2)+(20+10+5+5+5)</f>
        <v>164.2</v>
      </c>
      <c r="G37" s="22">
        <f>E37*1.4</f>
        <v>217.27999999999997</v>
      </c>
      <c r="H37" s="22">
        <f>F37*1.4</f>
        <v>229.87999999999997</v>
      </c>
      <c r="I37" s="22">
        <f>E37*1.2</f>
        <v>186.23999999999998</v>
      </c>
      <c r="J37" s="22">
        <f>F37*1.2</f>
        <v>197.04</v>
      </c>
      <c r="K37" s="22">
        <f>E37*1.14</f>
        <v>176.92799999999997</v>
      </c>
      <c r="L37" s="22">
        <f>F37*1.14</f>
        <v>187.18799999999996</v>
      </c>
    </row>
    <row r="38" spans="1:12" x14ac:dyDescent="0.25">
      <c r="A38" s="62"/>
      <c r="B38" s="94"/>
      <c r="C38" s="67"/>
      <c r="D38" s="1" t="s">
        <v>0</v>
      </c>
      <c r="E38" s="10">
        <f>(143*0.7)+((68+29+8+40)*0.45)+(15+10+5+5+5)</f>
        <v>205.35</v>
      </c>
      <c r="F38" s="10">
        <f>(148*0.9)+((68+29+8+40)*0.45)+(2*2.5)+(20+10+5+5+5)</f>
        <v>248.45000000000002</v>
      </c>
      <c r="G38" s="22">
        <f>E38*1.4</f>
        <v>287.48999999999995</v>
      </c>
      <c r="H38" s="23">
        <f>F38*1.4</f>
        <v>347.83</v>
      </c>
      <c r="I38" s="24">
        <f>E38*1.2</f>
        <v>246.42</v>
      </c>
      <c r="J38" s="22">
        <f>F38*1.2</f>
        <v>298.14</v>
      </c>
      <c r="K38" s="24">
        <f>E38*1.14</f>
        <v>234.09899999999996</v>
      </c>
      <c r="L38" s="22">
        <f>F38*1.14</f>
        <v>283.233</v>
      </c>
    </row>
    <row r="39" spans="1:12" ht="15.75" thickBot="1" x14ac:dyDescent="0.3">
      <c r="A39" s="63"/>
      <c r="B39" s="95"/>
      <c r="C39" s="67"/>
      <c r="D39" s="2" t="s">
        <v>2</v>
      </c>
      <c r="E39" s="11">
        <f>(143*1)+((68+29+8+40)*0.55)+(15+10+5+5+5)</f>
        <v>262.75</v>
      </c>
      <c r="F39" s="11">
        <f>(143*1)+((68+29+8+40)*0.55)+(2*2.8)+(20+10+5+5+5)</f>
        <v>273.35000000000002</v>
      </c>
      <c r="G39" s="25">
        <f>E39*1.4</f>
        <v>367.84999999999997</v>
      </c>
      <c r="H39" s="26">
        <f>F39*1.4</f>
        <v>382.69</v>
      </c>
      <c r="I39" s="27">
        <f>E39*1.2</f>
        <v>315.3</v>
      </c>
      <c r="J39" s="26">
        <f>F39*1.2</f>
        <v>328.02000000000004</v>
      </c>
      <c r="K39" s="26">
        <f>E39*1.14</f>
        <v>299.53499999999997</v>
      </c>
      <c r="L39" s="26">
        <f>F39*1.14</f>
        <v>311.61899999999997</v>
      </c>
    </row>
    <row r="40" spans="1:12" x14ac:dyDescent="0.25">
      <c r="A40" s="61" t="s">
        <v>21</v>
      </c>
      <c r="B40" s="94" t="s">
        <v>27</v>
      </c>
      <c r="C40" s="67"/>
      <c r="D40" s="1" t="s">
        <v>1</v>
      </c>
      <c r="E40" s="12">
        <f>(143*0.4)+((115+29+8+40)*0.4)+(15+10+5+5+5)</f>
        <v>174</v>
      </c>
      <c r="F40" s="12">
        <f>(143*0.4)+((115+29+8+40)*0.4)+(2*2)+(20+10+5+5+5)</f>
        <v>183</v>
      </c>
      <c r="G40" s="22">
        <f>E40*1.4</f>
        <v>243.6</v>
      </c>
      <c r="H40" s="22">
        <f>F40*1.4</f>
        <v>256.2</v>
      </c>
      <c r="I40" s="22">
        <f>E40*1.2</f>
        <v>208.79999999999998</v>
      </c>
      <c r="J40" s="22">
        <f>F40*1.2</f>
        <v>219.6</v>
      </c>
      <c r="K40" s="22">
        <f>E40*1.14</f>
        <v>198.35999999999999</v>
      </c>
      <c r="L40" s="22">
        <f>F40*1.14</f>
        <v>208.61999999999998</v>
      </c>
    </row>
    <row r="41" spans="1:12" x14ac:dyDescent="0.25">
      <c r="A41" s="62"/>
      <c r="B41" s="94"/>
      <c r="C41" s="67"/>
      <c r="D41" s="1" t="s">
        <v>0</v>
      </c>
      <c r="E41" s="10">
        <f>(143*0.7)+((115+29+8+40)*0.45)+(15+10+5+5+5)</f>
        <v>226.5</v>
      </c>
      <c r="F41" s="10">
        <f>(143*0.7)+((115+29+8+40)*0.45)+(2*2.5)+(20+10+5+5+5)</f>
        <v>236.5</v>
      </c>
      <c r="G41" s="22">
        <f>E41*1.4</f>
        <v>317.09999999999997</v>
      </c>
      <c r="H41" s="22">
        <f>F41*1.4</f>
        <v>331.09999999999997</v>
      </c>
      <c r="I41" s="24">
        <f>E41*1.2</f>
        <v>271.8</v>
      </c>
      <c r="J41" s="22">
        <f>F41*1.2</f>
        <v>283.8</v>
      </c>
      <c r="K41" s="24">
        <f>E41*1.14</f>
        <v>258.20999999999998</v>
      </c>
      <c r="L41" s="22">
        <f>F41*1.14</f>
        <v>269.60999999999996</v>
      </c>
    </row>
    <row r="42" spans="1:12" ht="15.75" thickBot="1" x14ac:dyDescent="0.3">
      <c r="A42" s="63"/>
      <c r="B42" s="95"/>
      <c r="C42" s="67"/>
      <c r="D42" s="2" t="s">
        <v>2</v>
      </c>
      <c r="E42" s="11">
        <f>(143*1)+((115+29+8+40)*0.55)+(15+10+5+5+5)</f>
        <v>288.60000000000002</v>
      </c>
      <c r="F42" s="11">
        <f>(143*1)+((115+29+8+40)*0.55)+(2*2.8)+(20+10+5+5+5)</f>
        <v>299.20000000000005</v>
      </c>
      <c r="G42" s="26">
        <f>E42*1.4</f>
        <v>404.04</v>
      </c>
      <c r="H42" s="26">
        <f>F42*1.4</f>
        <v>418.88000000000005</v>
      </c>
      <c r="I42" s="26">
        <f>E42*1.2</f>
        <v>346.32</v>
      </c>
      <c r="J42" s="26">
        <f>F42*1.2</f>
        <v>359.04</v>
      </c>
      <c r="K42" s="26">
        <f>E42*1.14</f>
        <v>329.00400000000002</v>
      </c>
      <c r="L42" s="26">
        <f>F42*1.14</f>
        <v>341.08800000000002</v>
      </c>
    </row>
    <row r="43" spans="1:12" x14ac:dyDescent="0.25">
      <c r="A43" s="61" t="s">
        <v>21</v>
      </c>
      <c r="B43" s="93" t="s">
        <v>28</v>
      </c>
      <c r="C43" s="67"/>
      <c r="D43" s="3" t="s">
        <v>1</v>
      </c>
      <c r="E43" s="12">
        <f>(143*0.4)+((200+29+8+40)*0.4)+(15+10+5+5+5)</f>
        <v>208</v>
      </c>
      <c r="F43" s="12">
        <f>(143*0.4)+((200+29+8+40)*0.4)+(2*2)+(20+10+5+5+5)</f>
        <v>217</v>
      </c>
      <c r="G43" s="22">
        <f>E43*1.4</f>
        <v>291.2</v>
      </c>
      <c r="H43" s="22">
        <f>F43*1.4</f>
        <v>303.79999999999995</v>
      </c>
      <c r="I43" s="22">
        <f>E43*1.2</f>
        <v>249.6</v>
      </c>
      <c r="J43" s="22">
        <f>F43*1.2</f>
        <v>260.39999999999998</v>
      </c>
      <c r="K43" s="22">
        <f>E43*1.14</f>
        <v>237.11999999999998</v>
      </c>
      <c r="L43" s="22">
        <f>F43*1.14</f>
        <v>247.37999999999997</v>
      </c>
    </row>
    <row r="44" spans="1:12" x14ac:dyDescent="0.25">
      <c r="A44" s="62"/>
      <c r="B44" s="94"/>
      <c r="C44" s="67"/>
      <c r="D44" s="1" t="s">
        <v>0</v>
      </c>
      <c r="E44" s="10">
        <f>(143*0.7)+((200+29+8+40)*0.45)+(15+10+5+5+5)</f>
        <v>264.75</v>
      </c>
      <c r="F44" s="10">
        <f>(143*0.7)+((200+29+8+40)*0.45)+(2*2.5)+(20+10+5+5+5)</f>
        <v>274.75</v>
      </c>
      <c r="G44" s="22">
        <f>E44*1.4</f>
        <v>370.65</v>
      </c>
      <c r="H44" s="22">
        <f>F44*1.4</f>
        <v>384.65</v>
      </c>
      <c r="I44" s="24">
        <f>E44*1.2</f>
        <v>317.7</v>
      </c>
      <c r="J44" s="22">
        <f>F44*1.2</f>
        <v>329.7</v>
      </c>
      <c r="K44" s="24">
        <f>E44*1.14</f>
        <v>301.815</v>
      </c>
      <c r="L44" s="22">
        <f>F44*1.14</f>
        <v>313.21499999999997</v>
      </c>
    </row>
    <row r="45" spans="1:12" ht="15.75" thickBot="1" x14ac:dyDescent="0.3">
      <c r="A45" s="63"/>
      <c r="B45" s="95"/>
      <c r="C45" s="68"/>
      <c r="D45" s="2" t="s">
        <v>2</v>
      </c>
      <c r="E45" s="11">
        <f>(143*1)+((200+29+8+40)*0.55)+(15+10+5+5+5)</f>
        <v>335.35</v>
      </c>
      <c r="F45" s="11">
        <f>(143*1)+((200+29+8+40)*0.55)+(2*2.8)+(20+10+5+5+5)</f>
        <v>345.95000000000005</v>
      </c>
      <c r="G45" s="26">
        <f>E45*1.4</f>
        <v>469.49</v>
      </c>
      <c r="H45" s="26">
        <f>F45*1.4</f>
        <v>484.33000000000004</v>
      </c>
      <c r="I45" s="26">
        <f>E45*1.2</f>
        <v>402.42</v>
      </c>
      <c r="J45" s="26">
        <f>F45*1.2</f>
        <v>415.14000000000004</v>
      </c>
      <c r="K45" s="26">
        <f>E45*1.14</f>
        <v>382.29899999999998</v>
      </c>
      <c r="L45" s="26">
        <f>F45*1.14</f>
        <v>394.38300000000004</v>
      </c>
    </row>
    <row r="46" spans="1:12" ht="15.75" thickBot="1" x14ac:dyDescent="0.3">
      <c r="A46" s="43"/>
      <c r="B46" s="54"/>
      <c r="C46" s="44"/>
      <c r="D46" s="48"/>
      <c r="E46" s="49"/>
      <c r="F46" s="49"/>
      <c r="G46" s="23"/>
      <c r="H46" s="23"/>
      <c r="I46" s="23"/>
      <c r="J46" s="23"/>
      <c r="K46" s="23"/>
      <c r="L46" s="23"/>
    </row>
    <row r="47" spans="1:12" x14ac:dyDescent="0.25">
      <c r="A47" s="96" t="s">
        <v>21</v>
      </c>
      <c r="B47" s="97" t="s">
        <v>26</v>
      </c>
      <c r="C47" s="79" t="s">
        <v>6</v>
      </c>
      <c r="D47" s="5" t="s">
        <v>1</v>
      </c>
      <c r="E47" s="13">
        <f>(148*0.4)+((68+29+8+40)*0.4)+(15+10+5+5+5)</f>
        <v>157.19999999999999</v>
      </c>
      <c r="F47" s="13">
        <f>(148*0.4)+((68+29+8+40)*0.4)+(2*2)+(20+10+5+5+5)</f>
        <v>166.2</v>
      </c>
      <c r="G47" s="28">
        <f>E47*1.4</f>
        <v>220.07999999999998</v>
      </c>
      <c r="H47" s="28">
        <f>F47*1.4</f>
        <v>232.67999999999998</v>
      </c>
      <c r="I47" s="28">
        <f>E47*1.2</f>
        <v>188.64</v>
      </c>
      <c r="J47" s="28">
        <f>F47*1.2</f>
        <v>199.43999999999997</v>
      </c>
      <c r="K47" s="28">
        <f>E47*1.14</f>
        <v>179.20799999999997</v>
      </c>
      <c r="L47" s="28">
        <f>F47*1.14</f>
        <v>189.46799999999996</v>
      </c>
    </row>
    <row r="48" spans="1:12" x14ac:dyDescent="0.25">
      <c r="A48" s="75"/>
      <c r="B48" s="97"/>
      <c r="C48" s="80"/>
      <c r="D48" s="5" t="s">
        <v>0</v>
      </c>
      <c r="E48" s="14">
        <f>(148*0.7)+((68+29+8+40)*0.45)+(15+10+5+5+5)</f>
        <v>208.85</v>
      </c>
      <c r="F48" s="14">
        <f>(148*0.7)+((68+29+8+40)*0.45)+(2*2.5)+(20+10+5+5+5)</f>
        <v>218.85</v>
      </c>
      <c r="G48" s="28">
        <f>E48*1.4</f>
        <v>292.39</v>
      </c>
      <c r="H48" s="28">
        <f>F48*1.4</f>
        <v>306.39</v>
      </c>
      <c r="I48" s="29">
        <f>E48*1.2</f>
        <v>250.61999999999998</v>
      </c>
      <c r="J48" s="28">
        <f>F48*1.2</f>
        <v>262.62</v>
      </c>
      <c r="K48" s="29">
        <f>E48*1.14</f>
        <v>238.08899999999997</v>
      </c>
      <c r="L48" s="28">
        <f>F48*1.14</f>
        <v>249.48899999999998</v>
      </c>
    </row>
    <row r="49" spans="1:12" ht="15.75" thickBot="1" x14ac:dyDescent="0.3">
      <c r="A49" s="76"/>
      <c r="B49" s="98"/>
      <c r="C49" s="80"/>
      <c r="D49" s="6" t="s">
        <v>2</v>
      </c>
      <c r="E49" s="15">
        <f>(148*1)+((68+29+8+40)*0.55)+(15+10+5+5+5)</f>
        <v>267.75</v>
      </c>
      <c r="F49" s="15">
        <f>(148*1)+((68+29+8+40)*0.55)+(2*2.8)+(20+10+5+5+5)</f>
        <v>278.35000000000002</v>
      </c>
      <c r="G49" s="30">
        <f>E49*1.4</f>
        <v>374.84999999999997</v>
      </c>
      <c r="H49" s="30">
        <f>F49*1.4</f>
        <v>389.69</v>
      </c>
      <c r="I49" s="30">
        <f>E49*1.2</f>
        <v>321.3</v>
      </c>
      <c r="J49" s="30">
        <f>F49*1.2</f>
        <v>334.02000000000004</v>
      </c>
      <c r="K49" s="30">
        <f>E49*1.14</f>
        <v>305.23499999999996</v>
      </c>
      <c r="L49" s="30">
        <f>F49*1.14</f>
        <v>317.31900000000002</v>
      </c>
    </row>
    <row r="50" spans="1:12" x14ac:dyDescent="0.25">
      <c r="A50" s="96" t="s">
        <v>21</v>
      </c>
      <c r="B50" s="97" t="s">
        <v>27</v>
      </c>
      <c r="C50" s="80"/>
      <c r="D50" s="5" t="s">
        <v>1</v>
      </c>
      <c r="E50" s="13">
        <f>(148*0.4)+((115+29+8+40)*0.4)+(15+10+5+5+5)</f>
        <v>176</v>
      </c>
      <c r="F50" s="13">
        <f>(148*0.4)+((115+29+8+40)*0.4)+(2*2)+(20+10+5+5+5)</f>
        <v>185</v>
      </c>
      <c r="G50" s="28">
        <f>E50*1.4</f>
        <v>246.39999999999998</v>
      </c>
      <c r="H50" s="28">
        <f>F50*1.4</f>
        <v>259</v>
      </c>
      <c r="I50" s="28">
        <f>E50*1.2</f>
        <v>211.2</v>
      </c>
      <c r="J50" s="28">
        <f>F50*1.2</f>
        <v>222</v>
      </c>
      <c r="K50" s="28">
        <f>E50*1.14</f>
        <v>200.64</v>
      </c>
      <c r="L50" s="28">
        <f>F50*1.14</f>
        <v>210.89999999999998</v>
      </c>
    </row>
    <row r="51" spans="1:12" x14ac:dyDescent="0.25">
      <c r="A51" s="75"/>
      <c r="B51" s="97"/>
      <c r="C51" s="80"/>
      <c r="D51" s="5" t="s">
        <v>0</v>
      </c>
      <c r="E51" s="14">
        <f>(148*0.7)+((115+29+8+40)*0.45)+(15+10+5+5+5)</f>
        <v>230</v>
      </c>
      <c r="F51" s="14">
        <f>(148*0.7)+((115+29+8+40)*0.45)+(2*2.5)+(20+10+5+5+5)</f>
        <v>240</v>
      </c>
      <c r="G51" s="28">
        <f>E51*1.4</f>
        <v>322</v>
      </c>
      <c r="H51" s="28">
        <f>F51*1.4</f>
        <v>336</v>
      </c>
      <c r="I51" s="29">
        <f>E51*1.2</f>
        <v>276</v>
      </c>
      <c r="J51" s="28">
        <f>F51*1.2</f>
        <v>288</v>
      </c>
      <c r="K51" s="29">
        <f>E51*1.14</f>
        <v>262.2</v>
      </c>
      <c r="L51" s="28">
        <f>F51*1.14</f>
        <v>273.59999999999997</v>
      </c>
    </row>
    <row r="52" spans="1:12" ht="15.75" thickBot="1" x14ac:dyDescent="0.3">
      <c r="A52" s="76"/>
      <c r="B52" s="98"/>
      <c r="C52" s="80"/>
      <c r="D52" s="6" t="s">
        <v>2</v>
      </c>
      <c r="E52" s="15">
        <f>(148*1)+((115+29+8+40)*0.55)+(15+10+5+5+5)</f>
        <v>293.60000000000002</v>
      </c>
      <c r="F52" s="15">
        <f>(148*1)+((115+29+8+40)*0.55)+(2*2.8)+(20+10+5+5+5)</f>
        <v>304.20000000000005</v>
      </c>
      <c r="G52" s="30">
        <f>E52*1.4</f>
        <v>411.04</v>
      </c>
      <c r="H52" s="30">
        <f>F52*1.4</f>
        <v>425.88000000000005</v>
      </c>
      <c r="I52" s="30">
        <f>E52*1.2</f>
        <v>352.32</v>
      </c>
      <c r="J52" s="30">
        <f>F52*1.2</f>
        <v>365.04</v>
      </c>
      <c r="K52" s="30">
        <f>E52*1.14</f>
        <v>334.70400000000001</v>
      </c>
      <c r="L52" s="30">
        <f>F52*1.14</f>
        <v>346.78800000000001</v>
      </c>
    </row>
    <row r="53" spans="1:12" x14ac:dyDescent="0.25">
      <c r="A53" s="96" t="s">
        <v>21</v>
      </c>
      <c r="B53" s="99" t="s">
        <v>28</v>
      </c>
      <c r="C53" s="80"/>
      <c r="D53" s="4" t="s">
        <v>1</v>
      </c>
      <c r="E53" s="13">
        <f>(148*0.4)+((200+29+8+40)*0.4)+(15+10+5+5+5)</f>
        <v>210</v>
      </c>
      <c r="F53" s="13">
        <f>(148*0.4)+((200+29+8+40)*0.4)+(2*2)+(20+10+5+5+5)</f>
        <v>219</v>
      </c>
      <c r="G53" s="28">
        <f>E53*1.4</f>
        <v>294</v>
      </c>
      <c r="H53" s="28">
        <f>F53*1.4</f>
        <v>306.59999999999997</v>
      </c>
      <c r="I53" s="28">
        <f>E53*1.2</f>
        <v>252</v>
      </c>
      <c r="J53" s="28">
        <f>F53*1.2</f>
        <v>262.8</v>
      </c>
      <c r="K53" s="28">
        <f>E53*1.14</f>
        <v>239.39999999999998</v>
      </c>
      <c r="L53" s="28">
        <f>F53*1.14</f>
        <v>249.65999999999997</v>
      </c>
    </row>
    <row r="54" spans="1:12" x14ac:dyDescent="0.25">
      <c r="A54" s="75"/>
      <c r="B54" s="97"/>
      <c r="C54" s="80"/>
      <c r="D54" s="5" t="s">
        <v>0</v>
      </c>
      <c r="E54" s="14">
        <f>(148*0.7)+((200+29+8+40)*0.45)+(15+10+5+5+5)</f>
        <v>268.25</v>
      </c>
      <c r="F54" s="14">
        <f>(148*0.7)+((200+29+8+40)*0.45)+(2*2.5)+(20+10+5+5+5)</f>
        <v>278.25</v>
      </c>
      <c r="G54" s="28">
        <f>E54*1.4</f>
        <v>375.54999999999995</v>
      </c>
      <c r="H54" s="28">
        <f>F54*1.4</f>
        <v>389.54999999999995</v>
      </c>
      <c r="I54" s="29">
        <f>E54*1.2</f>
        <v>321.89999999999998</v>
      </c>
      <c r="J54" s="28">
        <f>F54*1.2</f>
        <v>333.9</v>
      </c>
      <c r="K54" s="29">
        <f>E54*1.14</f>
        <v>305.80499999999995</v>
      </c>
      <c r="L54" s="28">
        <f>F54*1.14</f>
        <v>317.20499999999998</v>
      </c>
    </row>
    <row r="55" spans="1:12" ht="15.75" thickBot="1" x14ac:dyDescent="0.3">
      <c r="A55" s="76"/>
      <c r="B55" s="98"/>
      <c r="C55" s="81"/>
      <c r="D55" s="6" t="s">
        <v>2</v>
      </c>
      <c r="E55" s="15">
        <f>(148*1)+((200+29+8+40)*0.55)+(15+10+5+5+5)</f>
        <v>340.35</v>
      </c>
      <c r="F55" s="15">
        <f>(148*1)+((200+29+8+40)*0.55)+(2*2.8)+(20+10+5+5+5)</f>
        <v>350.95000000000005</v>
      </c>
      <c r="G55" s="30">
        <f>E55*1.4</f>
        <v>476.49</v>
      </c>
      <c r="H55" s="30">
        <f>F55*1.4</f>
        <v>491.33000000000004</v>
      </c>
      <c r="I55" s="30">
        <f>E55*1.2</f>
        <v>408.42</v>
      </c>
      <c r="J55" s="30">
        <f>F55*1.2</f>
        <v>421.14000000000004</v>
      </c>
      <c r="K55" s="30">
        <f>E55*1.14</f>
        <v>387.99899999999997</v>
      </c>
      <c r="L55" s="30">
        <f>F55*1.14</f>
        <v>400.08300000000003</v>
      </c>
    </row>
    <row r="56" spans="1:12" ht="15.75" thickBot="1" x14ac:dyDescent="0.3">
      <c r="A56" s="45"/>
      <c r="B56" s="55"/>
      <c r="C56" s="46"/>
      <c r="D56" s="51"/>
      <c r="E56" s="52"/>
      <c r="F56" s="52"/>
      <c r="G56" s="53"/>
      <c r="H56" s="53"/>
      <c r="I56" s="53"/>
      <c r="J56" s="53"/>
      <c r="K56" s="53"/>
      <c r="L56" s="53"/>
    </row>
    <row r="57" spans="1:12" x14ac:dyDescent="0.25">
      <c r="A57" s="83" t="s">
        <v>21</v>
      </c>
      <c r="B57" s="100" t="s">
        <v>26</v>
      </c>
      <c r="C57" s="89" t="s">
        <v>7</v>
      </c>
      <c r="D57" s="7" t="s">
        <v>1</v>
      </c>
      <c r="E57" s="20">
        <f>(158*0.45)+((68+29+8+40)*0.4)+(15+10+5+5+5)</f>
        <v>169.10000000000002</v>
      </c>
      <c r="F57" s="20">
        <f>(158*0.45)+((68+29+8+40)*0.4)+(2*2)+(20+10+5+5+5)</f>
        <v>178.10000000000002</v>
      </c>
      <c r="G57" s="31">
        <f>E57*1.4</f>
        <v>236.74</v>
      </c>
      <c r="H57" s="31">
        <f>F57*1.4</f>
        <v>249.34</v>
      </c>
      <c r="I57" s="31">
        <f>E57*1.2</f>
        <v>202.92000000000002</v>
      </c>
      <c r="J57" s="31">
        <f>F57*1.2</f>
        <v>213.72000000000003</v>
      </c>
      <c r="K57" s="31">
        <f>E57*1.14</f>
        <v>192.774</v>
      </c>
      <c r="L57" s="31">
        <f>F57*1.14</f>
        <v>203.03400000000002</v>
      </c>
    </row>
    <row r="58" spans="1:12" x14ac:dyDescent="0.25">
      <c r="A58" s="84"/>
      <c r="B58" s="101"/>
      <c r="C58" s="90"/>
      <c r="D58" s="8" t="s">
        <v>0</v>
      </c>
      <c r="E58" s="17">
        <f>(158*0.9)+((68+29+8+40)*0.45)+(15+10+5+5+5)</f>
        <v>247.45000000000002</v>
      </c>
      <c r="F58" s="17">
        <f>(158*0.9)+((68+29+8+40)*0.45)+(2*2.5)+(20+10+5+5+5)</f>
        <v>257.45000000000005</v>
      </c>
      <c r="G58" s="32">
        <f>E58*1.4</f>
        <v>346.43</v>
      </c>
      <c r="H58" s="32">
        <f>F58*1.4</f>
        <v>360.43000000000006</v>
      </c>
      <c r="I58" s="33">
        <f>E58*1.2</f>
        <v>296.94</v>
      </c>
      <c r="J58" s="32">
        <f>F58*1.2</f>
        <v>308.94000000000005</v>
      </c>
      <c r="K58" s="33">
        <f>E58*1.14</f>
        <v>282.09300000000002</v>
      </c>
      <c r="L58" s="32">
        <f>F58*1.14</f>
        <v>293.49300000000005</v>
      </c>
    </row>
    <row r="59" spans="1:12" ht="15.75" thickBot="1" x14ac:dyDescent="0.3">
      <c r="A59" s="85"/>
      <c r="B59" s="102"/>
      <c r="C59" s="90"/>
      <c r="D59" s="9" t="s">
        <v>2</v>
      </c>
      <c r="E59" s="18">
        <f>(158*1.3)+((68+29+8+40)*0.55)+(15+10+5+5+5)</f>
        <v>325.14999999999998</v>
      </c>
      <c r="F59" s="18">
        <f>(158*1.3)+((68+29+8+40)*0.55)+(2*2.8)+(20+10+5+5+5)</f>
        <v>335.75</v>
      </c>
      <c r="G59" s="34">
        <f>E59*1.4</f>
        <v>455.20999999999992</v>
      </c>
      <c r="H59" s="34">
        <f>F59*1.4</f>
        <v>470.04999999999995</v>
      </c>
      <c r="I59" s="34">
        <f>E59*1.2</f>
        <v>390.17999999999995</v>
      </c>
      <c r="J59" s="34">
        <f>F59*1.2</f>
        <v>402.9</v>
      </c>
      <c r="K59" s="34">
        <f>E59*1.14</f>
        <v>370.67099999999994</v>
      </c>
      <c r="L59" s="34">
        <f>F59*1.14</f>
        <v>382.755</v>
      </c>
    </row>
    <row r="60" spans="1:12" x14ac:dyDescent="0.25">
      <c r="A60" s="83" t="s">
        <v>21</v>
      </c>
      <c r="B60" s="101" t="s">
        <v>27</v>
      </c>
      <c r="C60" s="90"/>
      <c r="D60" s="8" t="s">
        <v>1</v>
      </c>
      <c r="E60" s="16">
        <f>(158*0.45)+((115+29+8+40)*0.4)+(15+10+5+5+5)</f>
        <v>187.90000000000003</v>
      </c>
      <c r="F60" s="16">
        <f>(158*0.45)+((115+29+8+40)*0.4)+(2*2)+(20+10+5+5+5)</f>
        <v>196.90000000000003</v>
      </c>
      <c r="G60" s="32">
        <f>E60*1.4</f>
        <v>263.06000000000006</v>
      </c>
      <c r="H60" s="32">
        <f>F60*1.4</f>
        <v>275.66000000000003</v>
      </c>
      <c r="I60" s="32">
        <f>E60*1.2</f>
        <v>225.48000000000005</v>
      </c>
      <c r="J60" s="32">
        <f>F60*1.2</f>
        <v>236.28000000000003</v>
      </c>
      <c r="K60" s="32">
        <f>E60*1.14</f>
        <v>214.20600000000002</v>
      </c>
      <c r="L60" s="32">
        <f>F60*1.14</f>
        <v>224.46600000000001</v>
      </c>
    </row>
    <row r="61" spans="1:12" x14ac:dyDescent="0.25">
      <c r="A61" s="84"/>
      <c r="B61" s="101"/>
      <c r="C61" s="90"/>
      <c r="D61" s="8" t="s">
        <v>0</v>
      </c>
      <c r="E61" s="17">
        <f>(158*0.9)+((115+29+8+40)*0.45)+(15+10+5+5+5)</f>
        <v>268.60000000000002</v>
      </c>
      <c r="F61" s="17">
        <f>(158*0.9)+((115+29+8+40)*0.45)+(2*2.5)+(20+10+5+5+5)</f>
        <v>278.60000000000002</v>
      </c>
      <c r="G61" s="32">
        <f>E61*1.4</f>
        <v>376.04</v>
      </c>
      <c r="H61" s="32">
        <f>F61*1.4</f>
        <v>390.04</v>
      </c>
      <c r="I61" s="33">
        <f>E61*1.2</f>
        <v>322.32</v>
      </c>
      <c r="J61" s="32">
        <f>F61*1.2</f>
        <v>334.32</v>
      </c>
      <c r="K61" s="33">
        <f>E61*1.14</f>
        <v>306.20400000000001</v>
      </c>
      <c r="L61" s="32">
        <f>F61*1.14</f>
        <v>317.60399999999998</v>
      </c>
    </row>
    <row r="62" spans="1:12" ht="15.75" thickBot="1" x14ac:dyDescent="0.3">
      <c r="A62" s="85"/>
      <c r="B62" s="102"/>
      <c r="C62" s="90"/>
      <c r="D62" s="9" t="s">
        <v>2</v>
      </c>
      <c r="E62" s="18">
        <f>(158*1.3)+((115+29+8+40)*0.55)+(15+10+5+5+5)</f>
        <v>351</v>
      </c>
      <c r="F62" s="18">
        <f>(158*1.3)+((115+29+8+40)*0.55)+(2*2.8)+(20+10+5+5+5)</f>
        <v>361.6</v>
      </c>
      <c r="G62" s="34">
        <f>E62*1.4</f>
        <v>491.4</v>
      </c>
      <c r="H62" s="34">
        <f>F62*1.4</f>
        <v>506.24</v>
      </c>
      <c r="I62" s="34">
        <f>E62*1.2</f>
        <v>421.2</v>
      </c>
      <c r="J62" s="34">
        <f>F62*1.2</f>
        <v>433.92</v>
      </c>
      <c r="K62" s="34">
        <f>E62*1.14</f>
        <v>400.14</v>
      </c>
      <c r="L62" s="34">
        <f>F62*1.14</f>
        <v>412.22399999999999</v>
      </c>
    </row>
    <row r="63" spans="1:12" x14ac:dyDescent="0.25">
      <c r="A63" s="83" t="s">
        <v>21</v>
      </c>
      <c r="B63" s="103" t="s">
        <v>28</v>
      </c>
      <c r="C63" s="90"/>
      <c r="D63" s="7" t="s">
        <v>1</v>
      </c>
      <c r="E63" s="16">
        <f>(158*0.45)+((200+29+8+40)*0.4)+(15+10+5+5+5)</f>
        <v>221.90000000000003</v>
      </c>
      <c r="F63" s="16">
        <f>(158*0.45)+((200+29+8+40)*0.4)+(2*2)+(20+10+5+5+5)</f>
        <v>230.90000000000003</v>
      </c>
      <c r="G63" s="32">
        <f>E63*1.4</f>
        <v>310.66000000000003</v>
      </c>
      <c r="H63" s="32">
        <f>F63*1.4</f>
        <v>323.26000000000005</v>
      </c>
      <c r="I63" s="32">
        <f>E63*1.2</f>
        <v>266.28000000000003</v>
      </c>
      <c r="J63" s="32">
        <f>F63*1.2</f>
        <v>277.08000000000004</v>
      </c>
      <c r="K63" s="32">
        <f>E63*1.14</f>
        <v>252.96600000000001</v>
      </c>
      <c r="L63" s="32">
        <f>F63*1.14</f>
        <v>263.226</v>
      </c>
    </row>
    <row r="64" spans="1:12" x14ac:dyDescent="0.25">
      <c r="A64" s="84"/>
      <c r="B64" s="101"/>
      <c r="C64" s="90"/>
      <c r="D64" s="8" t="s">
        <v>0</v>
      </c>
      <c r="E64" s="17">
        <f>(158*0.9)+((200+29+8+40)*0.45)+(15+10+5+5+5)</f>
        <v>306.85000000000002</v>
      </c>
      <c r="F64" s="17">
        <f>(158*0.9)+((200+29+8+40)*0.45)+(2*2.5)+(20+10+5+5+5)</f>
        <v>316.85000000000002</v>
      </c>
      <c r="G64" s="32">
        <f>E64*1.4</f>
        <v>429.59000000000003</v>
      </c>
      <c r="H64" s="32">
        <f>F64*1.4</f>
        <v>443.59000000000003</v>
      </c>
      <c r="I64" s="33">
        <f>E64*1.2</f>
        <v>368.22</v>
      </c>
      <c r="J64" s="32">
        <f>F64*1.2</f>
        <v>380.22</v>
      </c>
      <c r="K64" s="33">
        <f>E64*1.14</f>
        <v>349.80899999999997</v>
      </c>
      <c r="L64" s="32">
        <f>F64*1.14</f>
        <v>361.209</v>
      </c>
    </row>
    <row r="65" spans="1:12" ht="15.75" thickBot="1" x14ac:dyDescent="0.3">
      <c r="A65" s="85"/>
      <c r="B65" s="102"/>
      <c r="C65" s="91"/>
      <c r="D65" s="9" t="s">
        <v>2</v>
      </c>
      <c r="E65" s="18">
        <f>(158*1.3)+((200+29+8+40)*0.55)+(15+10+5+5+5)</f>
        <v>397.75</v>
      </c>
      <c r="F65" s="18">
        <f>(158*1.3)+((200+29+8+40)*0.55)+(2*2.8)+(20+10+5+5+5)</f>
        <v>408.35</v>
      </c>
      <c r="G65" s="34">
        <f>E65*1.4</f>
        <v>556.84999999999991</v>
      </c>
      <c r="H65" s="35">
        <f>F65*1.4</f>
        <v>571.68999999999994</v>
      </c>
      <c r="I65" s="34">
        <f>E65*1.2</f>
        <v>477.29999999999995</v>
      </c>
      <c r="J65" s="35">
        <f>F65*1.2</f>
        <v>490.02</v>
      </c>
      <c r="K65" s="34">
        <f>E65*1.14</f>
        <v>453.43499999999995</v>
      </c>
      <c r="L65" s="35">
        <f>F65*1.14</f>
        <v>465.51900000000001</v>
      </c>
    </row>
    <row r="66" spans="1:12" ht="15.75" thickBot="1" x14ac:dyDescent="0.3">
      <c r="A66" s="37"/>
      <c r="B66" s="38"/>
      <c r="C66" s="39"/>
      <c r="D66" s="40"/>
      <c r="E66" s="41"/>
      <c r="F66" s="41"/>
      <c r="G66" s="42"/>
      <c r="H66" s="42"/>
      <c r="I66" s="42"/>
      <c r="J66" s="42"/>
      <c r="K66" s="42"/>
      <c r="L66" s="42"/>
    </row>
    <row r="68" spans="1:12" x14ac:dyDescent="0.25">
      <c r="A68" s="70" t="s">
        <v>15</v>
      </c>
      <c r="B68" s="70" t="s">
        <v>16</v>
      </c>
      <c r="C68" s="70" t="s">
        <v>4</v>
      </c>
      <c r="D68" s="70" t="s">
        <v>3</v>
      </c>
      <c r="E68" s="72" t="s">
        <v>8</v>
      </c>
      <c r="F68" s="73"/>
      <c r="G68" s="72" t="s">
        <v>9</v>
      </c>
      <c r="H68" s="73"/>
      <c r="I68" s="59" t="s">
        <v>17</v>
      </c>
      <c r="J68" s="60"/>
      <c r="K68" s="59" t="s">
        <v>18</v>
      </c>
      <c r="L68" s="60"/>
    </row>
    <row r="69" spans="1:12" ht="105" x14ac:dyDescent="0.25">
      <c r="A69" s="71"/>
      <c r="B69" s="71"/>
      <c r="C69" s="71"/>
      <c r="D69" s="71"/>
      <c r="E69" s="19" t="s">
        <v>12</v>
      </c>
      <c r="F69" s="21" t="s">
        <v>11</v>
      </c>
      <c r="G69" s="21" t="s">
        <v>12</v>
      </c>
      <c r="H69" s="21" t="s">
        <v>11</v>
      </c>
      <c r="I69" s="21" t="s">
        <v>12</v>
      </c>
      <c r="J69" s="21" t="s">
        <v>11</v>
      </c>
      <c r="K69" s="21" t="s">
        <v>12</v>
      </c>
      <c r="L69" s="21" t="s">
        <v>11</v>
      </c>
    </row>
    <row r="70" spans="1:12" x14ac:dyDescent="0.25">
      <c r="A70" s="62" t="s">
        <v>22</v>
      </c>
      <c r="B70" s="93" t="s">
        <v>23</v>
      </c>
      <c r="C70" s="67" t="s">
        <v>5</v>
      </c>
      <c r="D70" s="36" t="s">
        <v>1</v>
      </c>
      <c r="E70" s="12">
        <f>(143*0.4)+((68+29+8+40+62)*0.4)+(15+15+6+5+5+5+10)</f>
        <v>201</v>
      </c>
      <c r="F70" s="12">
        <f>(143*0.4)+((68+29+8+40+62)*0.4)+(2*2)+(25+15+6+5+5+5+10)</f>
        <v>215</v>
      </c>
      <c r="G70" s="22">
        <f>E70*1.4</f>
        <v>281.39999999999998</v>
      </c>
      <c r="H70" s="22">
        <f>F70*1.4</f>
        <v>301</v>
      </c>
      <c r="I70" s="22">
        <f>E70*1.2</f>
        <v>241.2</v>
      </c>
      <c r="J70" s="22">
        <f>F70*1.2</f>
        <v>258</v>
      </c>
      <c r="K70" s="22">
        <f>E70*1.14</f>
        <v>229.14</v>
      </c>
      <c r="L70" s="22">
        <f>F70*1.14</f>
        <v>245.09999999999997</v>
      </c>
    </row>
    <row r="71" spans="1:12" x14ac:dyDescent="0.25">
      <c r="A71" s="62"/>
      <c r="B71" s="94"/>
      <c r="C71" s="67"/>
      <c r="D71" s="1" t="s">
        <v>0</v>
      </c>
      <c r="E71" s="10">
        <f>(143*0.7)+((68+29+8+40+62)*0.45)+(15+15+6+5+5+5+10)</f>
        <v>254.25</v>
      </c>
      <c r="F71" s="10">
        <f>(143*0.7)+((68+29+8+40+62)*0.45)+(2*2.5)+(25+15+6+5+5+5+10)</f>
        <v>269.25</v>
      </c>
      <c r="G71" s="22">
        <f>E71*1.4</f>
        <v>355.95</v>
      </c>
      <c r="H71" s="23">
        <f>F71*1.4</f>
        <v>376.95</v>
      </c>
      <c r="I71" s="24">
        <f>E71*1.2</f>
        <v>305.09999999999997</v>
      </c>
      <c r="J71" s="22">
        <f>F71*1.2</f>
        <v>323.09999999999997</v>
      </c>
      <c r="K71" s="24">
        <f>E71*1.14</f>
        <v>289.84499999999997</v>
      </c>
      <c r="L71" s="22">
        <f>F71*1.14</f>
        <v>306.94499999999999</v>
      </c>
    </row>
    <row r="72" spans="1:12" ht="15.75" thickBot="1" x14ac:dyDescent="0.3">
      <c r="A72" s="63"/>
      <c r="B72" s="95"/>
      <c r="C72" s="67"/>
      <c r="D72" s="2" t="s">
        <v>2</v>
      </c>
      <c r="E72" s="11">
        <f>(143*1)+((68+29+8+40+62)*0.55)+(15+15+6+5+5+5+10)</f>
        <v>317.85000000000002</v>
      </c>
      <c r="F72" s="11">
        <f>(143*1)+((68+29+8+40+62)*0.55)+(2*2.8)+(25+15+6+5+5+5+10)</f>
        <v>333.45000000000005</v>
      </c>
      <c r="G72" s="25">
        <f>E72*1.4</f>
        <v>444.99</v>
      </c>
      <c r="H72" s="26">
        <f>F72*1.4</f>
        <v>466.83000000000004</v>
      </c>
      <c r="I72" s="27">
        <f>E72*1.2</f>
        <v>381.42</v>
      </c>
      <c r="J72" s="26">
        <f>F72*1.2</f>
        <v>400.14000000000004</v>
      </c>
      <c r="K72" s="26">
        <f>E72*1.14</f>
        <v>362.34899999999999</v>
      </c>
      <c r="L72" s="26">
        <f>F72*1.14</f>
        <v>380.13300000000004</v>
      </c>
    </row>
    <row r="73" spans="1:12" x14ac:dyDescent="0.25">
      <c r="A73" s="61" t="s">
        <v>22</v>
      </c>
      <c r="B73" s="94" t="s">
        <v>24</v>
      </c>
      <c r="C73" s="67"/>
      <c r="D73" s="1" t="s">
        <v>1</v>
      </c>
      <c r="E73" s="12">
        <f>(143*0.4)+((115+29+8+40+62)*0.4)+(15+15+6+5+5+5+10)</f>
        <v>219.8</v>
      </c>
      <c r="F73" s="12">
        <f>(143*0.4)+((115+29+8+40+62)*0.4)+(2*2)+(25+15+6+5+5+5=10)</f>
        <v>162.80000000000001</v>
      </c>
      <c r="G73" s="22">
        <f>E73*1.4</f>
        <v>307.71999999999997</v>
      </c>
      <c r="H73" s="22">
        <f>F73*1.4</f>
        <v>227.92</v>
      </c>
      <c r="I73" s="22">
        <f>E73*1.2</f>
        <v>263.76</v>
      </c>
      <c r="J73" s="22">
        <f>F73*1.2</f>
        <v>195.36</v>
      </c>
      <c r="K73" s="22">
        <f>E73*1.14</f>
        <v>250.572</v>
      </c>
      <c r="L73" s="22">
        <f>F73*1.14</f>
        <v>185.59199999999998</v>
      </c>
    </row>
    <row r="74" spans="1:12" x14ac:dyDescent="0.25">
      <c r="A74" s="62"/>
      <c r="B74" s="94"/>
      <c r="C74" s="67"/>
      <c r="D74" s="1" t="s">
        <v>0</v>
      </c>
      <c r="E74" s="10">
        <f>(143*0.7)+((115+29+8+40+62)*0.45)+(15+15+6+5+5+5+10)</f>
        <v>275.39999999999998</v>
      </c>
      <c r="F74" s="10">
        <f>(143*0.7)+((115+29+8+40+62)*0.45)+(2*2.5)+(25+15+6+5+5+5+10)</f>
        <v>290.39999999999998</v>
      </c>
      <c r="G74" s="22">
        <f>E74*1.4</f>
        <v>385.55999999999995</v>
      </c>
      <c r="H74" s="22">
        <f>F74*1.4</f>
        <v>406.55999999999995</v>
      </c>
      <c r="I74" s="24">
        <f>E74*1.2</f>
        <v>330.47999999999996</v>
      </c>
      <c r="J74" s="22">
        <f>F74*1.2</f>
        <v>348.47999999999996</v>
      </c>
      <c r="K74" s="24">
        <f>E74*1.14</f>
        <v>313.95599999999996</v>
      </c>
      <c r="L74" s="22">
        <f>F74*1.14</f>
        <v>331.05599999999993</v>
      </c>
    </row>
    <row r="75" spans="1:12" ht="15.75" thickBot="1" x14ac:dyDescent="0.3">
      <c r="A75" s="63"/>
      <c r="B75" s="95"/>
      <c r="C75" s="67"/>
      <c r="D75" s="2" t="s">
        <v>2</v>
      </c>
      <c r="E75" s="11">
        <f>(143*1)+((115+29+8+40+62)*0.55)+(15+15+6+5+5+5+10)</f>
        <v>343.70000000000005</v>
      </c>
      <c r="F75" s="11">
        <f>(143*1)+((115+29+8+40+62)*0.55)+(2*2.8)+(25+15+6+5+5+5+10)</f>
        <v>359.30000000000007</v>
      </c>
      <c r="G75" s="26">
        <f>E75*1.4</f>
        <v>481.18</v>
      </c>
      <c r="H75" s="26">
        <f>F75*1.4</f>
        <v>503.02000000000004</v>
      </c>
      <c r="I75" s="26">
        <f>E75*1.2</f>
        <v>412.44000000000005</v>
      </c>
      <c r="J75" s="26">
        <f>F75*1.2</f>
        <v>431.16000000000008</v>
      </c>
      <c r="K75" s="26">
        <f>E75*1.14</f>
        <v>391.81800000000004</v>
      </c>
      <c r="L75" s="26">
        <f>F75*1.14</f>
        <v>409.60200000000003</v>
      </c>
    </row>
    <row r="76" spans="1:12" x14ac:dyDescent="0.25">
      <c r="A76" s="61" t="s">
        <v>22</v>
      </c>
      <c r="B76" s="93" t="s">
        <v>25</v>
      </c>
      <c r="C76" s="67"/>
      <c r="D76" s="3" t="s">
        <v>1</v>
      </c>
      <c r="E76" s="12">
        <f>(143*0.4)+((200+29+8+40+62)*0.4)+(15+15+6+5+5+5+10)</f>
        <v>253.8</v>
      </c>
      <c r="F76" s="12">
        <f>(143*0.4)+((200+29+8+40+62)*0.4)+(2*2)+(25+15+6+5+5+5+10)</f>
        <v>267.8</v>
      </c>
      <c r="G76" s="22">
        <f>E76*1.4</f>
        <v>355.32</v>
      </c>
      <c r="H76" s="22">
        <f>F76*1.4</f>
        <v>374.92</v>
      </c>
      <c r="I76" s="22">
        <f>E76*1.2</f>
        <v>304.56</v>
      </c>
      <c r="J76" s="22">
        <f>F76*1.2</f>
        <v>321.36</v>
      </c>
      <c r="K76" s="22">
        <f>E76*1.14</f>
        <v>289.33199999999999</v>
      </c>
      <c r="L76" s="22">
        <f>F76*1.14</f>
        <v>305.29199999999997</v>
      </c>
    </row>
    <row r="77" spans="1:12" x14ac:dyDescent="0.25">
      <c r="A77" s="62"/>
      <c r="B77" s="94"/>
      <c r="C77" s="67"/>
      <c r="D77" s="1" t="s">
        <v>0</v>
      </c>
      <c r="E77" s="10">
        <f>(143*0.7)+((200+29+8+40+62)*0.45)+(15+15+6+5+5+5+10)</f>
        <v>313.64999999999998</v>
      </c>
      <c r="F77" s="10">
        <f>(143*0.7)+((200+29+8+40+62)*0.45)+(2*2.5)+(25+15+6+5+5+5+10)</f>
        <v>328.65</v>
      </c>
      <c r="G77" s="22">
        <f>E77*1.4</f>
        <v>439.10999999999996</v>
      </c>
      <c r="H77" s="22">
        <f>F77*1.4</f>
        <v>460.10999999999996</v>
      </c>
      <c r="I77" s="24">
        <f>E77*1.2</f>
        <v>376.37999999999994</v>
      </c>
      <c r="J77" s="22">
        <f>F77*1.2</f>
        <v>394.37999999999994</v>
      </c>
      <c r="K77" s="24">
        <f>E77*1.14</f>
        <v>357.56099999999992</v>
      </c>
      <c r="L77" s="22">
        <f>F77*1.14</f>
        <v>374.66099999999994</v>
      </c>
    </row>
    <row r="78" spans="1:12" ht="15.75" thickBot="1" x14ac:dyDescent="0.3">
      <c r="A78" s="63"/>
      <c r="B78" s="95"/>
      <c r="C78" s="68"/>
      <c r="D78" s="2" t="s">
        <v>2</v>
      </c>
      <c r="E78" s="11">
        <f>(143*1)+((200+29+8+40+62)*0.55)+(15+15+6+5+5+5+10)</f>
        <v>390.45000000000005</v>
      </c>
      <c r="F78" s="11">
        <f>(143*1)+((200+29+8+40+62)*0.55)+(2*2.8)+(25+15+6+5+5+5+10)</f>
        <v>406.05000000000007</v>
      </c>
      <c r="G78" s="26">
        <f>E78*1.4</f>
        <v>546.63</v>
      </c>
      <c r="H78" s="26">
        <f>F78*1.4</f>
        <v>568.47</v>
      </c>
      <c r="I78" s="26">
        <f>E78*1.2</f>
        <v>468.54</v>
      </c>
      <c r="J78" s="26">
        <f>F78*1.2</f>
        <v>487.26000000000005</v>
      </c>
      <c r="K78" s="26">
        <f>E78*1.14</f>
        <v>445.113</v>
      </c>
      <c r="L78" s="26">
        <f>F78*1.14</f>
        <v>462.89700000000005</v>
      </c>
    </row>
    <row r="79" spans="1:12" ht="15.75" thickBot="1" x14ac:dyDescent="0.3">
      <c r="A79" s="43"/>
      <c r="B79" s="54"/>
      <c r="C79" s="44"/>
      <c r="D79" s="48"/>
      <c r="E79" s="49"/>
      <c r="F79" s="49"/>
      <c r="G79" s="23"/>
      <c r="H79" s="23"/>
      <c r="I79" s="23"/>
      <c r="J79" s="23"/>
      <c r="K79" s="23"/>
      <c r="L79" s="23"/>
    </row>
    <row r="80" spans="1:12" x14ac:dyDescent="0.25">
      <c r="A80" s="96" t="s">
        <v>22</v>
      </c>
      <c r="B80" s="97" t="s">
        <v>23</v>
      </c>
      <c r="C80" s="79" t="s">
        <v>6</v>
      </c>
      <c r="D80" s="5" t="s">
        <v>1</v>
      </c>
      <c r="E80" s="13">
        <f>(148*0.4)+((68+29+8+40+62)*0.4)+(15+15+6+5+5+5+10)</f>
        <v>203</v>
      </c>
      <c r="F80" s="13">
        <f>(148*0.4)+((68+29+8+40+62)*0.4)+(2*2)+(25+15+6+5+5+5+10)</f>
        <v>217</v>
      </c>
      <c r="G80" s="28">
        <f>E80*1.4</f>
        <v>284.2</v>
      </c>
      <c r="H80" s="28">
        <f>F80*1.4</f>
        <v>303.79999999999995</v>
      </c>
      <c r="I80" s="28">
        <f>E80*1.2</f>
        <v>243.6</v>
      </c>
      <c r="J80" s="28">
        <f>F80*1.2</f>
        <v>260.39999999999998</v>
      </c>
      <c r="K80" s="28">
        <f>E80*1.14</f>
        <v>231.42</v>
      </c>
      <c r="L80" s="28">
        <f>F80*1.14</f>
        <v>247.37999999999997</v>
      </c>
    </row>
    <row r="81" spans="1:12" x14ac:dyDescent="0.25">
      <c r="A81" s="75"/>
      <c r="B81" s="97"/>
      <c r="C81" s="80"/>
      <c r="D81" s="5" t="s">
        <v>0</v>
      </c>
      <c r="E81" s="14">
        <f>(143*0.7)+((68+29+8+40+62)*0.45)+(15+15+6+5+5+5+10)</f>
        <v>254.25</v>
      </c>
      <c r="F81" s="14">
        <f>(148*0.7)+((68+29+8+40+62)*0.45)+(2*2.5)+(25+15+6+5+5+5+10)</f>
        <v>272.75</v>
      </c>
      <c r="G81" s="28">
        <f>E81*1.4</f>
        <v>355.95</v>
      </c>
      <c r="H81" s="28">
        <f>F81*1.4</f>
        <v>381.84999999999997</v>
      </c>
      <c r="I81" s="29">
        <f>E81*1.2</f>
        <v>305.09999999999997</v>
      </c>
      <c r="J81" s="28">
        <f>F81*1.2</f>
        <v>327.3</v>
      </c>
      <c r="K81" s="29">
        <f>E81*1.14</f>
        <v>289.84499999999997</v>
      </c>
      <c r="L81" s="28">
        <f>F81*1.14</f>
        <v>310.93499999999995</v>
      </c>
    </row>
    <row r="82" spans="1:12" ht="15.75" thickBot="1" x14ac:dyDescent="0.3">
      <c r="A82" s="76"/>
      <c r="B82" s="98"/>
      <c r="C82" s="80"/>
      <c r="D82" s="6" t="s">
        <v>2</v>
      </c>
      <c r="E82" s="15">
        <f>(148*1)+((68+29+8+40+62)*0.55)+(15+15+6+5+5+5+10)</f>
        <v>322.85000000000002</v>
      </c>
      <c r="F82" s="15">
        <f>(148*1)+((68+29+8+40+62)*0.55)+(2*2.8)+(25+15+6+5+5+5+10)</f>
        <v>338.45000000000005</v>
      </c>
      <c r="G82" s="30">
        <f>E82*1.4</f>
        <v>451.99</v>
      </c>
      <c r="H82" s="30">
        <f>F82*1.4</f>
        <v>473.83000000000004</v>
      </c>
      <c r="I82" s="30">
        <f>E82*1.2</f>
        <v>387.42</v>
      </c>
      <c r="J82" s="30">
        <f>F82*1.2</f>
        <v>406.14000000000004</v>
      </c>
      <c r="K82" s="30">
        <f>E82*1.14</f>
        <v>368.04899999999998</v>
      </c>
      <c r="L82" s="30">
        <f>F82*1.14</f>
        <v>385.83300000000003</v>
      </c>
    </row>
    <row r="83" spans="1:12" x14ac:dyDescent="0.25">
      <c r="A83" s="96" t="s">
        <v>22</v>
      </c>
      <c r="B83" s="97" t="s">
        <v>24</v>
      </c>
      <c r="C83" s="80"/>
      <c r="D83" s="5" t="s">
        <v>1</v>
      </c>
      <c r="E83" s="13">
        <f>(148*0.4)+((115+29+8+40+62)*0.4)+(15+15+6+5+5+5+10)</f>
        <v>221.8</v>
      </c>
      <c r="F83" s="13">
        <f>(148*0.4)+((115+29+8+40+62)*0.4)+(2*2)+(25+15+6+5+5+5+10)</f>
        <v>235.8</v>
      </c>
      <c r="G83" s="28">
        <f>E83*1.4</f>
        <v>310.52</v>
      </c>
      <c r="H83" s="28">
        <f>F83*1.4</f>
        <v>330.12</v>
      </c>
      <c r="I83" s="28">
        <f>E83*1.2</f>
        <v>266.16000000000003</v>
      </c>
      <c r="J83" s="28">
        <f>F83*1.2</f>
        <v>282.95999999999998</v>
      </c>
      <c r="K83" s="28">
        <f>E83*1.14</f>
        <v>252.852</v>
      </c>
      <c r="L83" s="28">
        <f>F83*1.14</f>
        <v>268.81200000000001</v>
      </c>
    </row>
    <row r="84" spans="1:12" x14ac:dyDescent="0.25">
      <c r="A84" s="75"/>
      <c r="B84" s="97"/>
      <c r="C84" s="80"/>
      <c r="D84" s="5" t="s">
        <v>0</v>
      </c>
      <c r="E84" s="14">
        <f>(148*0.7)+((115+29+8+40+62)*0.45)+(15+15+6+5+5+5+10)</f>
        <v>278.89999999999998</v>
      </c>
      <c r="F84" s="14">
        <f>(148*0.7)+((115+29+8+40+62)*0.45)+(2*2.5)+(25+15+6+5+5+5+10)</f>
        <v>293.89999999999998</v>
      </c>
      <c r="G84" s="28">
        <f>E84*1.4</f>
        <v>390.45999999999992</v>
      </c>
      <c r="H84" s="28">
        <f>F84*1.4</f>
        <v>411.45999999999992</v>
      </c>
      <c r="I84" s="29">
        <f>E84*1.2</f>
        <v>334.67999999999995</v>
      </c>
      <c r="J84" s="28">
        <f>F84*1.2</f>
        <v>352.67999999999995</v>
      </c>
      <c r="K84" s="29">
        <f>E84*1.14</f>
        <v>317.94599999999997</v>
      </c>
      <c r="L84" s="28">
        <f>F84*1.14</f>
        <v>335.04599999999994</v>
      </c>
    </row>
    <row r="85" spans="1:12" ht="15.75" thickBot="1" x14ac:dyDescent="0.3">
      <c r="A85" s="76"/>
      <c r="B85" s="98"/>
      <c r="C85" s="80"/>
      <c r="D85" s="6" t="s">
        <v>2</v>
      </c>
      <c r="E85" s="15">
        <f>(148*1)+((115+29+8+40+62)*0.55)+(15+15+6+5+5+5+10)</f>
        <v>348.70000000000005</v>
      </c>
      <c r="F85" s="15">
        <f>(148*1)+((115+29+8+40+62)*0.55)+(2*2.8)+(25+15+6+5+5+5+10)</f>
        <v>364.30000000000007</v>
      </c>
      <c r="G85" s="30">
        <f>E85*1.4</f>
        <v>488.18</v>
      </c>
      <c r="H85" s="30">
        <f>F85*1.4</f>
        <v>510.02000000000004</v>
      </c>
      <c r="I85" s="30">
        <f>E85*1.2</f>
        <v>418.44000000000005</v>
      </c>
      <c r="J85" s="30">
        <f>F85*1.2</f>
        <v>437.16000000000008</v>
      </c>
      <c r="K85" s="30">
        <f>E85*1.14</f>
        <v>397.51800000000003</v>
      </c>
      <c r="L85" s="30">
        <f>F85*1.14</f>
        <v>415.30200000000002</v>
      </c>
    </row>
    <row r="86" spans="1:12" x14ac:dyDescent="0.25">
      <c r="A86" s="96" t="s">
        <v>22</v>
      </c>
      <c r="B86" s="99" t="s">
        <v>25</v>
      </c>
      <c r="C86" s="80"/>
      <c r="D86" s="4" t="s">
        <v>1</v>
      </c>
      <c r="E86" s="13">
        <f>(148*0.4)+((200+29+8+40+62)*0.4)+(15+15+6+5+5+5+10)</f>
        <v>255.8</v>
      </c>
      <c r="F86" s="13">
        <f>(148*0.4)+((200+29+8+40+62)*0.4)+(2*2)+(25+15+6+5+5+5+10)</f>
        <v>269.8</v>
      </c>
      <c r="G86" s="28">
        <f>E86*1.4</f>
        <v>358.12</v>
      </c>
      <c r="H86" s="28">
        <f>F86*1.4</f>
        <v>377.71999999999997</v>
      </c>
      <c r="I86" s="28">
        <f>E86*1.2</f>
        <v>306.95999999999998</v>
      </c>
      <c r="J86" s="28">
        <f>F86*1.2</f>
        <v>323.76</v>
      </c>
      <c r="K86" s="28">
        <f>E86*1.14</f>
        <v>291.61199999999997</v>
      </c>
      <c r="L86" s="28">
        <f>F86*1.14</f>
        <v>307.572</v>
      </c>
    </row>
    <row r="87" spans="1:12" x14ac:dyDescent="0.25">
      <c r="A87" s="75"/>
      <c r="B87" s="97"/>
      <c r="C87" s="80"/>
      <c r="D87" s="5" t="s">
        <v>0</v>
      </c>
      <c r="E87" s="14">
        <f>(148*0.7)+((200+29+8+40+62)*0.45)+(15+15+6+5+5+5+10)</f>
        <v>317.14999999999998</v>
      </c>
      <c r="F87" s="14">
        <f>(148*0.7)+((200+29+8+40+62)*0.45)+(2*2.5)+(25+15+6+5+5+5+10)</f>
        <v>332.15</v>
      </c>
      <c r="G87" s="28">
        <f>E87*1.4</f>
        <v>444.00999999999993</v>
      </c>
      <c r="H87" s="28">
        <f>F87*1.4</f>
        <v>465.00999999999993</v>
      </c>
      <c r="I87" s="29">
        <f>E87*1.2</f>
        <v>380.58</v>
      </c>
      <c r="J87" s="28">
        <f>F87*1.2</f>
        <v>398.58</v>
      </c>
      <c r="K87" s="29">
        <f>E87*1.14</f>
        <v>361.55099999999993</v>
      </c>
      <c r="L87" s="28">
        <f>F87*1.14</f>
        <v>378.65099999999995</v>
      </c>
    </row>
    <row r="88" spans="1:12" ht="15.75" thickBot="1" x14ac:dyDescent="0.3">
      <c r="A88" s="76"/>
      <c r="B88" s="98"/>
      <c r="C88" s="81"/>
      <c r="D88" s="6" t="s">
        <v>2</v>
      </c>
      <c r="E88" s="15">
        <f>(148*1)+((200+29+8+40+62)*0.55)+(15+15+6+5+5+5+10)</f>
        <v>395.45000000000005</v>
      </c>
      <c r="F88" s="15">
        <f>(148*1)+((200+29+8+40+62)*0.55)+(2*2.8)+(25+15+6+5+5+5+10)</f>
        <v>411.05000000000007</v>
      </c>
      <c r="G88" s="30">
        <f>E88*1.4</f>
        <v>553.63</v>
      </c>
      <c r="H88" s="30">
        <f>F88*1.4</f>
        <v>575.47</v>
      </c>
      <c r="I88" s="30">
        <f>E88*1.2</f>
        <v>474.54</v>
      </c>
      <c r="J88" s="30">
        <f>F88*1.2</f>
        <v>493.26000000000005</v>
      </c>
      <c r="K88" s="30">
        <f>E88*1.14</f>
        <v>450.81299999999999</v>
      </c>
      <c r="L88" s="30">
        <f>F88*1.14</f>
        <v>468.59700000000004</v>
      </c>
    </row>
    <row r="89" spans="1:12" ht="15.75" thickBot="1" x14ac:dyDescent="0.3">
      <c r="A89" s="45"/>
      <c r="B89" s="55"/>
      <c r="C89" s="46"/>
      <c r="D89" s="51"/>
      <c r="E89" s="52"/>
      <c r="F89" s="52"/>
      <c r="G89" s="53"/>
      <c r="H89" s="53"/>
      <c r="I89" s="53"/>
      <c r="J89" s="53"/>
      <c r="K89" s="53"/>
      <c r="L89" s="53"/>
    </row>
    <row r="90" spans="1:12" x14ac:dyDescent="0.25">
      <c r="A90" s="83" t="s">
        <v>22</v>
      </c>
      <c r="B90" s="100" t="s">
        <v>23</v>
      </c>
      <c r="C90" s="89" t="s">
        <v>7</v>
      </c>
      <c r="D90" s="7" t="s">
        <v>1</v>
      </c>
      <c r="E90" s="20">
        <f>(155*0.45)+((68+29+8+40+62)*0.4)+(15+15+6+5+5+5+10)</f>
        <v>213.55</v>
      </c>
      <c r="F90" s="20">
        <f>(155*0.4)+((68+29+8+40+62)*0.4)+(2*2)+(25+15+6+5+5+5+10)</f>
        <v>219.8</v>
      </c>
      <c r="G90" s="31">
        <f>E90*1.4</f>
        <v>298.96999999999997</v>
      </c>
      <c r="H90" s="31">
        <f>F90*1.4</f>
        <v>307.71999999999997</v>
      </c>
      <c r="I90" s="31">
        <f>E90*1.2</f>
        <v>256.26</v>
      </c>
      <c r="J90" s="31">
        <f>F90*1.2</f>
        <v>263.76</v>
      </c>
      <c r="K90" s="31">
        <f>E90*1.14</f>
        <v>243.447</v>
      </c>
      <c r="L90" s="31">
        <f>F90*1.14</f>
        <v>250.572</v>
      </c>
    </row>
    <row r="91" spans="1:12" x14ac:dyDescent="0.25">
      <c r="A91" s="84"/>
      <c r="B91" s="101"/>
      <c r="C91" s="90"/>
      <c r="D91" s="8" t="s">
        <v>0</v>
      </c>
      <c r="E91" s="17">
        <f>(155*0.9)+((68+29+8+40+62)*0.45)+(15+15+6+5+5+5+10)</f>
        <v>293.64999999999998</v>
      </c>
      <c r="F91" s="17">
        <f>(155*0.9)+((68+29+8+40+62)*0.45)+(2*2.5)+(25+15+6+5+5+5+10)</f>
        <v>308.64999999999998</v>
      </c>
      <c r="G91" s="32">
        <f>E91*1.4</f>
        <v>411.10999999999996</v>
      </c>
      <c r="H91" s="32">
        <f>F91*1.4</f>
        <v>432.10999999999996</v>
      </c>
      <c r="I91" s="33">
        <f>E91*1.2</f>
        <v>352.37999999999994</v>
      </c>
      <c r="J91" s="32">
        <f>F91*1.2</f>
        <v>370.37999999999994</v>
      </c>
      <c r="K91" s="33">
        <f>E91*1.14</f>
        <v>334.76099999999997</v>
      </c>
      <c r="L91" s="32">
        <f>F91*1.14</f>
        <v>351.86099999999993</v>
      </c>
    </row>
    <row r="92" spans="1:12" ht="15.75" thickBot="1" x14ac:dyDescent="0.3">
      <c r="A92" s="85"/>
      <c r="B92" s="102"/>
      <c r="C92" s="90"/>
      <c r="D92" s="9" t="s">
        <v>2</v>
      </c>
      <c r="E92" s="18">
        <f>(155*1.3)+((68+29+8+40+62)*0.55)+(15+15+6+5+5+5+10)</f>
        <v>376.35</v>
      </c>
      <c r="F92" s="18">
        <f>(155*1.3)+((68+29+8+40+62)*0.55)+(2*2.8)+(25+15+6+5+5+5+10)</f>
        <v>391.95000000000005</v>
      </c>
      <c r="G92" s="34">
        <f>E92*1.4</f>
        <v>526.89</v>
      </c>
      <c r="H92" s="34">
        <f>F92*1.4</f>
        <v>548.73</v>
      </c>
      <c r="I92" s="34">
        <f>E92*1.2</f>
        <v>451.62</v>
      </c>
      <c r="J92" s="34">
        <f>F92*1.2</f>
        <v>470.34000000000003</v>
      </c>
      <c r="K92" s="34">
        <f>E92*1.14</f>
        <v>429.03899999999999</v>
      </c>
      <c r="L92" s="34">
        <f>F92*1.14</f>
        <v>446.82300000000004</v>
      </c>
    </row>
    <row r="93" spans="1:12" x14ac:dyDescent="0.25">
      <c r="A93" s="83" t="s">
        <v>22</v>
      </c>
      <c r="B93" s="101" t="s">
        <v>24</v>
      </c>
      <c r="C93" s="90"/>
      <c r="D93" s="8" t="s">
        <v>1</v>
      </c>
      <c r="E93" s="16">
        <f>(155*0.45)+((115+29+8+40+62)*0.4)+(15+15+6+5+5+5+10)</f>
        <v>232.35000000000002</v>
      </c>
      <c r="F93" s="16">
        <f>(155*0.45)+((115+29+8+40+62)*0.4)+(2*2)+(25+15+6+5+5+5+10)</f>
        <v>246.35000000000002</v>
      </c>
      <c r="G93" s="32">
        <f>E93*1.4</f>
        <v>325.29000000000002</v>
      </c>
      <c r="H93" s="32">
        <f>F93*1.4</f>
        <v>344.89</v>
      </c>
      <c r="I93" s="32">
        <f>E93*1.2</f>
        <v>278.82</v>
      </c>
      <c r="J93" s="32">
        <f>F93*1.2</f>
        <v>295.62</v>
      </c>
      <c r="K93" s="32">
        <f>E93*1.14</f>
        <v>264.87900000000002</v>
      </c>
      <c r="L93" s="32">
        <f>F93*1.14</f>
        <v>280.839</v>
      </c>
    </row>
    <row r="94" spans="1:12" x14ac:dyDescent="0.25">
      <c r="A94" s="84"/>
      <c r="B94" s="101"/>
      <c r="C94" s="90"/>
      <c r="D94" s="8" t="s">
        <v>0</v>
      </c>
      <c r="E94" s="56">
        <f>(155*0.9)+((115+29+8+40+62)*0.45)+(15+15+8+5+5+5+10)</f>
        <v>316.8</v>
      </c>
      <c r="F94" s="56">
        <f>(155*0.9)+((115+29+8+40+62)*0.45)+(2*2.5)+(25+15+6+5+5+5+10)</f>
        <v>329.8</v>
      </c>
      <c r="G94" s="57">
        <f>E94*1.4</f>
        <v>443.52</v>
      </c>
      <c r="H94" s="57">
        <f>F94*1.4</f>
        <v>461.71999999999997</v>
      </c>
      <c r="I94" s="58">
        <f>E94*1.2</f>
        <v>380.16</v>
      </c>
      <c r="J94" s="57">
        <f>F94*1.2</f>
        <v>395.76</v>
      </c>
      <c r="K94" s="58">
        <f>E94*1.14</f>
        <v>361.15199999999999</v>
      </c>
      <c r="L94" s="57">
        <f>F94*1.14</f>
        <v>375.97199999999998</v>
      </c>
    </row>
    <row r="95" spans="1:12" ht="15.75" thickBot="1" x14ac:dyDescent="0.3">
      <c r="A95" s="85"/>
      <c r="B95" s="102"/>
      <c r="C95" s="90"/>
      <c r="D95" s="9" t="s">
        <v>2</v>
      </c>
      <c r="E95" s="18">
        <f>(155*1.3)+((115+29+8+40+62)*0.55)+(15+15+6+5+5+5+10)</f>
        <v>402.20000000000005</v>
      </c>
      <c r="F95" s="18">
        <f>(155*1.3)+((115+29+8+40+62)*0.55)+(2*2.8)+(25+15+6+5+5+5+10)</f>
        <v>417.80000000000007</v>
      </c>
      <c r="G95" s="34">
        <f>E95*1.4</f>
        <v>563.08000000000004</v>
      </c>
      <c r="H95" s="34">
        <f>F95*1.4</f>
        <v>584.92000000000007</v>
      </c>
      <c r="I95" s="34">
        <f>E95*1.2</f>
        <v>482.64000000000004</v>
      </c>
      <c r="J95" s="34">
        <f>F95*1.2</f>
        <v>501.36000000000007</v>
      </c>
      <c r="K95" s="34">
        <f>E95*1.14</f>
        <v>458.50800000000004</v>
      </c>
      <c r="L95" s="34">
        <f>F95*1.14</f>
        <v>476.29200000000003</v>
      </c>
    </row>
    <row r="96" spans="1:12" x14ac:dyDescent="0.25">
      <c r="A96" s="83" t="s">
        <v>22</v>
      </c>
      <c r="B96" s="103" t="s">
        <v>25</v>
      </c>
      <c r="C96" s="90"/>
      <c r="D96" s="7" t="s">
        <v>1</v>
      </c>
      <c r="E96" s="16">
        <f>(155*0.45)+((200+29+8+40+62)*0.4)+(15+15+6+5+5+5+10)</f>
        <v>266.35000000000002</v>
      </c>
      <c r="F96" s="16">
        <f>(155*0.45)+((200+29+8+40+62)*0.4)+(2*2)+(25+15+6+5+5+5+10)</f>
        <v>280.35000000000002</v>
      </c>
      <c r="G96" s="32">
        <f>E96*1.4</f>
        <v>372.89</v>
      </c>
      <c r="H96" s="32">
        <f>F96*1.4</f>
        <v>392.49</v>
      </c>
      <c r="I96" s="32">
        <f>E96*1.2</f>
        <v>319.62</v>
      </c>
      <c r="J96" s="32">
        <f>F96*1.2</f>
        <v>336.42</v>
      </c>
      <c r="K96" s="32">
        <f>E96*1.14</f>
        <v>303.63900000000001</v>
      </c>
      <c r="L96" s="32">
        <f>F96*1.14</f>
        <v>319.59899999999999</v>
      </c>
    </row>
    <row r="97" spans="1:12" x14ac:dyDescent="0.25">
      <c r="A97" s="84"/>
      <c r="B97" s="101"/>
      <c r="C97" s="90"/>
      <c r="D97" s="8" t="s">
        <v>0</v>
      </c>
      <c r="E97" s="17">
        <f>(155*0.9)+((200+29+8+40+62)*0.45)+(15+15+8+5+5+5+10)</f>
        <v>355.05</v>
      </c>
      <c r="F97" s="17">
        <f>(155*0.9)+((200+29+8+40+62)*0.45)+(2*2.5)+(25+15+6+5+5+5+10)</f>
        <v>368.05</v>
      </c>
      <c r="G97" s="32">
        <f>E97*1.4</f>
        <v>497.07</v>
      </c>
      <c r="H97" s="32">
        <f>F97*1.4</f>
        <v>515.27</v>
      </c>
      <c r="I97" s="33">
        <f>E97*1.2</f>
        <v>426.06</v>
      </c>
      <c r="J97" s="32">
        <f>F97*1.2</f>
        <v>441.66</v>
      </c>
      <c r="K97" s="33">
        <f>E97*1.14</f>
        <v>404.75700000000001</v>
      </c>
      <c r="L97" s="32">
        <f>F97*1.14</f>
        <v>419.577</v>
      </c>
    </row>
    <row r="98" spans="1:12" ht="15.75" thickBot="1" x14ac:dyDescent="0.3">
      <c r="A98" s="85"/>
      <c r="B98" s="102"/>
      <c r="C98" s="91"/>
      <c r="D98" s="9" t="s">
        <v>2</v>
      </c>
      <c r="E98" s="18">
        <f>(155*1.3)+((200+29+8+40+62)*0.55)+(15+15+6+5+5+5+10)</f>
        <v>448.95000000000005</v>
      </c>
      <c r="F98" s="18">
        <f>(155*1.3)+((200+29+8+40+62)*0.55)+(2*2.8)+(25+15+6+5+5+5+10)</f>
        <v>464.55000000000007</v>
      </c>
      <c r="G98" s="34">
        <f>E98*1.4</f>
        <v>628.53</v>
      </c>
      <c r="H98" s="35">
        <f>F98*1.4</f>
        <v>650.37</v>
      </c>
      <c r="I98" s="34">
        <f>E98*1.2</f>
        <v>538.74</v>
      </c>
      <c r="J98" s="35">
        <f>F98*1.2</f>
        <v>557.46</v>
      </c>
      <c r="K98" s="34">
        <f>E98*1.14</f>
        <v>511.803</v>
      </c>
      <c r="L98" s="35">
        <f>F98*1.14</f>
        <v>529.58699999999999</v>
      </c>
    </row>
  </sheetData>
  <mergeCells count="89">
    <mergeCell ref="C1:D1"/>
    <mergeCell ref="C2:D2"/>
    <mergeCell ref="I68:J68"/>
    <mergeCell ref="K68:L68"/>
    <mergeCell ref="A68:A69"/>
    <mergeCell ref="B68:B69"/>
    <mergeCell ref="C68:C69"/>
    <mergeCell ref="D68:D69"/>
    <mergeCell ref="E68:F68"/>
    <mergeCell ref="G68:H68"/>
    <mergeCell ref="A70:A72"/>
    <mergeCell ref="B70:B72"/>
    <mergeCell ref="C70:C78"/>
    <mergeCell ref="A73:A75"/>
    <mergeCell ref="B73:B75"/>
    <mergeCell ref="A76:A78"/>
    <mergeCell ref="B76:B78"/>
    <mergeCell ref="A80:A82"/>
    <mergeCell ref="B80:B82"/>
    <mergeCell ref="C80:C88"/>
    <mergeCell ref="A83:A85"/>
    <mergeCell ref="B83:B85"/>
    <mergeCell ref="A86:A88"/>
    <mergeCell ref="B86:B88"/>
    <mergeCell ref="A90:A92"/>
    <mergeCell ref="B90:B92"/>
    <mergeCell ref="C90:C98"/>
    <mergeCell ref="A93:A95"/>
    <mergeCell ref="B93:B95"/>
    <mergeCell ref="A96:A98"/>
    <mergeCell ref="B96:B98"/>
    <mergeCell ref="I35:J35"/>
    <mergeCell ref="K35:L35"/>
    <mergeCell ref="A35:A36"/>
    <mergeCell ref="B35:B36"/>
    <mergeCell ref="C35:C36"/>
    <mergeCell ref="D35:D36"/>
    <mergeCell ref="E35:F35"/>
    <mergeCell ref="G35:H35"/>
    <mergeCell ref="A37:A39"/>
    <mergeCell ref="B37:B39"/>
    <mergeCell ref="C37:C45"/>
    <mergeCell ref="A40:A42"/>
    <mergeCell ref="B40:B42"/>
    <mergeCell ref="A43:A45"/>
    <mergeCell ref="B43:B45"/>
    <mergeCell ref="A47:A49"/>
    <mergeCell ref="B47:B49"/>
    <mergeCell ref="C47:C55"/>
    <mergeCell ref="A50:A52"/>
    <mergeCell ref="B50:B52"/>
    <mergeCell ref="A53:A55"/>
    <mergeCell ref="B53:B55"/>
    <mergeCell ref="A57:A59"/>
    <mergeCell ref="B57:B59"/>
    <mergeCell ref="C57:C65"/>
    <mergeCell ref="A60:A62"/>
    <mergeCell ref="B60:B62"/>
    <mergeCell ref="A63:A65"/>
    <mergeCell ref="B63:B65"/>
    <mergeCell ref="A25:A27"/>
    <mergeCell ref="B25:B27"/>
    <mergeCell ref="C25:C33"/>
    <mergeCell ref="A28:A30"/>
    <mergeCell ref="B28:B30"/>
    <mergeCell ref="A31:A33"/>
    <mergeCell ref="B31:B33"/>
    <mergeCell ref="A15:A17"/>
    <mergeCell ref="B15:B17"/>
    <mergeCell ref="C15:C23"/>
    <mergeCell ref="A18:A20"/>
    <mergeCell ref="B18:B20"/>
    <mergeCell ref="A21:A23"/>
    <mergeCell ref="B21:B23"/>
    <mergeCell ref="I3:J3"/>
    <mergeCell ref="K3:L3"/>
    <mergeCell ref="A5:A7"/>
    <mergeCell ref="B5:B7"/>
    <mergeCell ref="C5:C13"/>
    <mergeCell ref="A8:A10"/>
    <mergeCell ref="B8:B10"/>
    <mergeCell ref="A11:A13"/>
    <mergeCell ref="B11:B13"/>
    <mergeCell ref="A3:A4"/>
    <mergeCell ref="B3:B4"/>
    <mergeCell ref="C3:C4"/>
    <mergeCell ref="D3:D4"/>
    <mergeCell ref="E3:F3"/>
    <mergeCell ref="G3:H3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цены на подушки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Xagen</cp:lastModifiedBy>
  <cp:lastPrinted>2017-04-03T13:14:02Z</cp:lastPrinted>
  <dcterms:created xsi:type="dcterms:W3CDTF">2017-02-14T08:03:33Z</dcterms:created>
  <dcterms:modified xsi:type="dcterms:W3CDTF">2019-08-07T14:15:48Z</dcterms:modified>
</cp:coreProperties>
</file>